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pivotTables/pivotTable5.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6.xml" ContentType="application/vnd.openxmlformats-officedocument.spreadsheetml.pivotTable+xml"/>
  <Override PartName="/xl/drawings/drawing7.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7.xml" ContentType="application/vnd.openxmlformats-officedocument.spreadsheetml.pivotTable+xml"/>
  <Override PartName="/xl/drawings/drawing8.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8.xml" ContentType="application/vnd.openxmlformats-officedocument.spreadsheetml.pivotTable+xml"/>
  <Override PartName="/xl/drawings/drawing9.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9.xml" ContentType="application/vnd.openxmlformats-officedocument.spreadsheetml.pivotTable+xml"/>
  <Override PartName="/xl/drawings/drawing10.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0.xml" ContentType="application/vnd.openxmlformats-officedocument.spreadsheetml.pivotTable+xml"/>
  <Override PartName="/xl/drawings/drawing11.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1.xml" ContentType="application/vnd.openxmlformats-officedocument.spreadsheetml.pivotTable+xml"/>
  <Override PartName="/xl/drawings/drawing12.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2.xml" ContentType="application/vnd.openxmlformats-officedocument.spreadsheetml.pivotTable+xml"/>
  <Override PartName="/xl/drawings/drawing13.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3.xml" ContentType="application/vnd.openxmlformats-officedocument.spreadsheetml.pivotTable+xml"/>
  <Override PartName="/xl/drawings/drawing14.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4.xml" ContentType="application/vnd.openxmlformats-officedocument.spreadsheetml.pivotTable+xml"/>
  <Override PartName="/xl/drawings/drawing15.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5.xml" ContentType="application/vnd.openxmlformats-officedocument.spreadsheetml.pivotTable+xml"/>
  <Override PartName="/xl/drawings/drawing16.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6.xml" ContentType="application/vnd.openxmlformats-officedocument.spreadsheetml.pivotTable+xml"/>
  <Override PartName="/xl/drawings/drawing17.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7.xml" ContentType="application/vnd.openxmlformats-officedocument.spreadsheetml.pivotTable+xml"/>
  <Override PartName="/xl/drawings/drawing18.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8.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9.xml" ContentType="application/vnd.openxmlformats-officedocument.spreadsheetml.pivotTable+xml"/>
  <Override PartName="/xl/drawings/drawing20.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20.xml" ContentType="application/vnd.openxmlformats-officedocument.spreadsheetml.pivotTable+xml"/>
  <Override PartName="/xl/drawings/drawing21.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pivotTables/pivotTable21.xml" ContentType="application/vnd.openxmlformats-officedocument.spreadsheetml.pivotTable+xml"/>
  <Override PartName="/xl/drawings/drawing22.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pivotTables/pivotTable22.xml" ContentType="application/vnd.openxmlformats-officedocument.spreadsheetml.pivotTable+xml"/>
  <Override PartName="/xl/drawings/drawing23.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pivotTables/pivotTable23.xml" ContentType="application/vnd.openxmlformats-officedocument.spreadsheetml.pivotTable+xml"/>
  <Override PartName="/xl/drawings/drawing24.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pivotTables/pivotTable24.xml" ContentType="application/vnd.openxmlformats-officedocument.spreadsheetml.pivotTable+xml"/>
  <Override PartName="/xl/drawings/drawing25.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pivotTables/pivotTable25.xml" ContentType="application/vnd.openxmlformats-officedocument.spreadsheetml.pivotTable+xml"/>
  <Override PartName="/xl/drawings/drawing26.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pivotTables/pivotTable26.xml" ContentType="application/vnd.openxmlformats-officedocument.spreadsheetml.pivotTable+xml"/>
  <Override PartName="/xl/drawings/drawing27.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pivotTables/pivotTable27.xml" ContentType="application/vnd.openxmlformats-officedocument.spreadsheetml.pivotTable+xml"/>
  <Override PartName="/xl/drawings/drawing2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ivotTables/pivotTable28.xml" ContentType="application/vnd.openxmlformats-officedocument.spreadsheetml.pivotTable+xml"/>
  <Override PartName="/xl/drawings/drawing2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pivotTables/pivotTable29.xml" ContentType="application/vnd.openxmlformats-officedocument.spreadsheetml.pivotTable+xml"/>
  <Override PartName="/xl/drawings/drawing3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pivotTables/pivotTable30.xml" ContentType="application/vnd.openxmlformats-officedocument.spreadsheetml.pivotTable+xml"/>
  <Override PartName="/xl/drawings/drawing3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pivotTables/pivotTable31.xml" ContentType="application/vnd.openxmlformats-officedocument.spreadsheetml.pivotTable+xml"/>
  <Override PartName="/xl/drawings/drawing3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pivotTables/pivotTable32.xml" ContentType="application/vnd.openxmlformats-officedocument.spreadsheetml.pivotTable+xml"/>
  <Override PartName="/xl/drawings/drawing3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pivotTables/pivotTable33.xml" ContentType="application/vnd.openxmlformats-officedocument.spreadsheetml.pivotTable+xml"/>
  <Override PartName="/xl/drawings/drawing3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34.xml" ContentType="application/vnd.openxmlformats-officedocument.spreadsheetml.pivotTable+xml"/>
  <Override PartName="/xl/drawings/drawing35.xml" ContentType="application/vnd.openxmlformats-officedocument.drawing+xml"/>
  <Override PartName="/xl/tables/table23.xml" ContentType="application/vnd.openxmlformats-officedocument.spreadsheetml.tab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codeName="ThisWorkbook"/>
  <mc:AlternateContent xmlns:mc="http://schemas.openxmlformats.org/markup-compatibility/2006">
    <mc:Choice Requires="x15">
      <x15ac:absPath xmlns:x15ac="http://schemas.microsoft.com/office/spreadsheetml/2010/11/ac" url="C:\Users\Conalep\OneDrive - COLEGIO NACIONAL DE EDUCACION PROFESIONAL TECNICA Oficinas Nacionales\2022\Estadística\Indicadores\Cuarto trimestre\"/>
    </mc:Choice>
  </mc:AlternateContent>
  <xr:revisionPtr revIDLastSave="114" documentId="8_{1F269898-4CE4-4103-BABB-B043D4A6AA8A}" xr6:coauthVersionLast="36" xr6:coauthVersionMax="36" xr10:uidLastSave="{B8474AEE-0F4A-4A88-B200-787E1AE9C205}"/>
  <bookViews>
    <workbookView xWindow="-105" yWindow="-105" windowWidth="23250" windowHeight="12570" tabRatio="837" firstSheet="23" activeTab="8" xr2:uid="{00000000-000D-0000-FFFF-FFFF00000000}"/>
  </bookViews>
  <sheets>
    <sheet name="todosindicadores" sheetId="113" state="hidden" r:id="rId1"/>
    <sheet name="ranking" sheetId="114" state="hidden" r:id="rId2"/>
    <sheet name="reporte_personalizado" sheetId="112" state="hidden" r:id="rId3"/>
    <sheet name="Consulta_Estado" sheetId="108" state="hidden" r:id="rId4"/>
    <sheet name="base_consulta_estado" sheetId="107" state="hidden" r:id="rId5"/>
    <sheet name="Resumen_general_nuevo" sheetId="115" state="hidden" r:id="rId6"/>
    <sheet name="absolutos_nuevo_resumen" sheetId="116" state="hidden" r:id="rId7"/>
    <sheet name="Resumen_primer_año" sheetId="118" state="hidden" r:id="rId8"/>
    <sheet name="Resumen_general" sheetId="73" r:id="rId9"/>
    <sheet name="Informe_HJD_2020" sheetId="117" state="hidden" r:id="rId10"/>
    <sheet name="cobertura" sheetId="77" r:id="rId11"/>
    <sheet name="demanda" sheetId="80" r:id="rId12"/>
    <sheet name="absorcion" sheetId="81" r:id="rId13"/>
    <sheet name="matricula" sheetId="82" r:id="rId14"/>
    <sheet name="capacidad" sheetId="83" r:id="rId15"/>
    <sheet name="abandono" sheetId="84" r:id="rId16"/>
    <sheet name="reprobacion" sheetId="85" r:id="rId17"/>
    <sheet name="eficienciat" sheetId="86" r:id="rId18"/>
    <sheet name="tasaegreso" sheetId="87" state="hidden" r:id="rId19"/>
    <sheet name="titulacion" sheetId="88" r:id="rId20"/>
    <sheet name="costo" sheetId="89" r:id="rId21"/>
    <sheet name="adocente" sheetId="90" r:id="rId22"/>
    <sheet name="becas" sheetId="91" state="hidden" r:id="rId23"/>
    <sheet name="alupc" sheetId="92" r:id="rId24"/>
    <sheet name="admpc" sheetId="93" state="hidden" r:id="rId25"/>
    <sheet name="capacitacion" sheetId="96" r:id="rId26"/>
    <sheet name="servtec" sheetId="95" r:id="rId27"/>
    <sheet name="evaluacion" sheetId="120" r:id="rId28"/>
    <sheet name="certificacion" sheetId="94" r:id="rId29"/>
    <sheet name="ecolocados" sheetId="130" r:id="rId30"/>
    <sheet name="bexterno" sheetId="97" r:id="rId31"/>
    <sheet name="cd" sheetId="121" r:id="rId32"/>
    <sheet name="eprt" sheetId="122" r:id="rId33"/>
    <sheet name="epr" sheetId="123" r:id="rId34"/>
    <sheet name="egc" sheetId="124" r:id="rId35"/>
    <sheet name="egi" sheetId="125" r:id="rId36"/>
    <sheet name="auto" sheetId="126" r:id="rId37"/>
    <sheet name="capip" sheetId="127" r:id="rId38"/>
    <sheet name="PCSINEMS" sheetId="98" state="hidden" r:id="rId39"/>
    <sheet name="base_general" sheetId="76" state="hidden" r:id="rId40"/>
  </sheets>
  <externalReferences>
    <externalReference r:id="rId41"/>
  </externalReferences>
  <definedNames>
    <definedName name="_xlnm._FilterDatabase" localSheetId="39" hidden="1">base_general!$A$1:$AY$341</definedName>
    <definedName name="_xlnm.Print_Area" localSheetId="15">abandono!$A$1:$H$56</definedName>
    <definedName name="_xlnm.Print_Area" localSheetId="20">costo!$A$1:$J$56</definedName>
    <definedName name="_xlnm.Print_Area" localSheetId="11">demanda!$A$1:$H$56</definedName>
    <definedName name="_xlnm.Print_Area" localSheetId="17">eficienciat!$A$1:$H$56</definedName>
    <definedName name="_xlnm.Print_Area" localSheetId="16">reprobacion!$A$1:$H$54</definedName>
    <definedName name="_xlnm.Print_Area" localSheetId="19">titulacion!$A$1:$H$56</definedName>
    <definedName name="EntidadDinamico">[1]Cat_entidad!$C$2</definedName>
    <definedName name="Print_Area" localSheetId="15">abandono!$A$1:$H$56</definedName>
    <definedName name="Print_Area" localSheetId="12">absorcion!$A$1:$H$56</definedName>
    <definedName name="Print_Area" localSheetId="21">adocente!$A$1:$H$56</definedName>
    <definedName name="Print_Area" localSheetId="23">alupc!$A$1:$H$56</definedName>
    <definedName name="Print_Area" localSheetId="30">bexterno!$A$1:$H$56</definedName>
    <definedName name="Print_Area" localSheetId="14">capacidad!$A$1:$H$56</definedName>
    <definedName name="Print_Area" localSheetId="28">certificacion!$A$1:$J$57</definedName>
    <definedName name="Print_Area" localSheetId="10">cobertura!$A$1:$H$57</definedName>
    <definedName name="Print_Area" localSheetId="3">Consulta_Estado!$A$1:$G$26</definedName>
    <definedName name="Print_Area" localSheetId="20">costo!$A$1:$J$56</definedName>
    <definedName name="Print_Area" localSheetId="11">demanda!$A$1:$H$56</definedName>
    <definedName name="Print_Area" localSheetId="29">ecolocados!$A$1:$E$53</definedName>
    <definedName name="Print_Area" localSheetId="17">eficienciat!$A$1:$H$57</definedName>
    <definedName name="Print_Area" localSheetId="33">epr!$A$1:$D$45</definedName>
    <definedName name="Print_Area" localSheetId="27">evaluacion!$A$1:$J$58</definedName>
    <definedName name="Print_Area" localSheetId="13">matricula!$A$1:$J$56</definedName>
    <definedName name="Print_Area" localSheetId="16">reprobacion!$A$1:$H$54</definedName>
    <definedName name="Print_Area" localSheetId="8">Resumen_general!$A$1:$G$44</definedName>
    <definedName name="Print_Area" localSheetId="26">servtec!$A$1:$J$56</definedName>
    <definedName name="Print_Area" localSheetId="18">tasaegreso!$A$1:$F$60</definedName>
    <definedName name="Print_Area" localSheetId="19">titulacion!$A$1:$H$56</definedName>
    <definedName name="Print_Titles" localSheetId="3">Consulta_Estado!$1:$8</definedName>
    <definedName name="Print_Titles" localSheetId="9">Informe_HJD_2020!$1:$5</definedName>
    <definedName name="Print_Titles" localSheetId="8">Resumen_general!$1:$7</definedName>
    <definedName name="Print_Titles" localSheetId="5">Resumen_general_nuevo!$1:$7</definedName>
    <definedName name="Print_Titles" localSheetId="7">Resumen_primer_año!$1:$6</definedName>
    <definedName name="SegmentaciónDeDatos_entidad">#N/A</definedName>
  </definedNames>
  <calcPr calcId="191029"/>
  <pivotCaches>
    <pivotCache cacheId="0" r:id="rId42"/>
    <pivotCache cacheId="1" r:id="rId43"/>
    <pivotCache cacheId="2" r:id="rId44"/>
  </pivotCaches>
  <extLst>
    <ext xmlns:x14="http://schemas.microsoft.com/office/spreadsheetml/2009/9/main" uri="{BBE1A952-AA13-448e-AADC-164F8A28A991}">
      <x14:slicerCaches>
        <x14:slicerCache r:id="rId4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30" l="1"/>
  <c r="B8" i="130"/>
  <c r="F27" i="73" s="1"/>
  <c r="D35" i="73"/>
  <c r="H33" i="92"/>
  <c r="D31" i="73"/>
  <c r="H48" i="92"/>
  <c r="H20" i="92"/>
  <c r="H27" i="92"/>
  <c r="G33" i="92"/>
  <c r="G40" i="92"/>
  <c r="D15" i="121"/>
  <c r="G34" i="83"/>
  <c r="H41" i="83"/>
  <c r="G35" i="83"/>
  <c r="G17" i="83"/>
  <c r="H49" i="83"/>
  <c r="D45" i="130"/>
  <c r="D46" i="130"/>
  <c r="D34" i="130"/>
  <c r="D40" i="130"/>
  <c r="D49" i="130"/>
  <c r="H28" i="92"/>
  <c r="H47" i="83"/>
  <c r="F26" i="108"/>
  <c r="G32" i="73"/>
  <c r="G19" i="92"/>
  <c r="H18" i="92"/>
  <c r="H36" i="92"/>
  <c r="C34" i="73"/>
  <c r="G25" i="92"/>
  <c r="G21" i="92"/>
  <c r="H41" i="92"/>
  <c r="H24" i="83"/>
  <c r="H23" i="83"/>
  <c r="H26" i="83"/>
  <c r="H34" i="83"/>
  <c r="G21" i="83"/>
  <c r="H19" i="83"/>
  <c r="D20" i="130"/>
  <c r="D21" i="130"/>
  <c r="D33" i="130"/>
  <c r="H42" i="92"/>
  <c r="D23" i="130"/>
  <c r="D22" i="130"/>
  <c r="H20" i="120"/>
  <c r="E30" i="73"/>
  <c r="G31" i="73"/>
  <c r="E33" i="73"/>
  <c r="H24" i="92"/>
  <c r="H43" i="92"/>
  <c r="F30" i="73"/>
  <c r="D32" i="73"/>
  <c r="G39" i="92"/>
  <c r="H31" i="83"/>
  <c r="H46" i="83"/>
  <c r="H21" i="83"/>
  <c r="G18" i="83"/>
  <c r="H37" i="83"/>
  <c r="G50" i="83"/>
  <c r="D19" i="130"/>
  <c r="D44" i="130"/>
  <c r="D32" i="130"/>
  <c r="D17" i="130"/>
  <c r="H31" i="92"/>
  <c r="G24" i="83"/>
  <c r="G28" i="92"/>
  <c r="F34" i="73"/>
  <c r="H49" i="92"/>
  <c r="H44" i="92"/>
  <c r="G38" i="92"/>
  <c r="G46" i="92"/>
  <c r="G41" i="92"/>
  <c r="H26" i="92"/>
  <c r="H34" i="92"/>
  <c r="C31" i="73"/>
  <c r="G29" i="83"/>
  <c r="H32" i="83"/>
  <c r="H44" i="83"/>
  <c r="G44" i="83"/>
  <c r="H22" i="83"/>
  <c r="G32" i="83"/>
  <c r="D18" i="130"/>
  <c r="D43" i="130"/>
  <c r="D31" i="130"/>
  <c r="H28" i="83"/>
  <c r="H21" i="92"/>
  <c r="G28" i="83"/>
  <c r="E31" i="73"/>
  <c r="D47" i="130"/>
  <c r="G36" i="73"/>
  <c r="H37" i="92"/>
  <c r="G42" i="92"/>
  <c r="H39" i="92"/>
  <c r="G34" i="92"/>
  <c r="G17" i="92"/>
  <c r="G24" i="92"/>
  <c r="G20" i="92"/>
  <c r="H40" i="92"/>
  <c r="G38" i="83"/>
  <c r="G42" i="83"/>
  <c r="H48" i="83"/>
  <c r="H40" i="83"/>
  <c r="H36" i="83"/>
  <c r="H17" i="83"/>
  <c r="D42" i="130"/>
  <c r="D30" i="130"/>
  <c r="D16" i="130"/>
  <c r="C35" i="73"/>
  <c r="G45" i="92"/>
  <c r="H42" i="83"/>
  <c r="F36" i="73"/>
  <c r="H25" i="92"/>
  <c r="G18" i="92"/>
  <c r="G37" i="92"/>
  <c r="G22" i="92"/>
  <c r="H17" i="92"/>
  <c r="G34" i="73"/>
  <c r="H45" i="92"/>
  <c r="G26" i="92"/>
  <c r="H35" i="83"/>
  <c r="G48" i="83"/>
  <c r="H18" i="83"/>
  <c r="G36" i="83"/>
  <c r="G33" i="83"/>
  <c r="G27" i="83"/>
  <c r="D39" i="130"/>
  <c r="D41" i="130"/>
  <c r="D29" i="130"/>
  <c r="G35" i="73"/>
  <c r="D37" i="130"/>
  <c r="G23" i="83"/>
  <c r="G37" i="83"/>
  <c r="E36" i="73"/>
  <c r="G47" i="92"/>
  <c r="F31" i="73"/>
  <c r="C33" i="73"/>
  <c r="H22" i="92"/>
  <c r="F33" i="73"/>
  <c r="E32" i="73"/>
  <c r="G43" i="92"/>
  <c r="G30" i="73"/>
  <c r="H30" i="83"/>
  <c r="H38" i="83"/>
  <c r="H29" i="83"/>
  <c r="G22" i="83"/>
  <c r="G46" i="83"/>
  <c r="H20" i="83"/>
  <c r="D38" i="130"/>
  <c r="D28" i="130"/>
  <c r="H50" i="83"/>
  <c r="H35" i="92"/>
  <c r="G31" i="83"/>
  <c r="E34" i="73"/>
  <c r="D36" i="73"/>
  <c r="G35" i="92"/>
  <c r="H19" i="92"/>
  <c r="H38" i="92"/>
  <c r="G32" i="92"/>
  <c r="H29" i="92"/>
  <c r="C30" i="73"/>
  <c r="H32" i="92"/>
  <c r="G49" i="92"/>
  <c r="H25" i="83"/>
  <c r="G26" i="83"/>
  <c r="G30" i="83"/>
  <c r="G49" i="83"/>
  <c r="H43" i="83"/>
  <c r="H39" i="83"/>
  <c r="D15" i="130"/>
  <c r="D14" i="130"/>
  <c r="D27" i="130"/>
  <c r="H46" i="92"/>
  <c r="D33" i="73"/>
  <c r="H27" i="83"/>
  <c r="C36" i="73"/>
  <c r="G23" i="92"/>
  <c r="G33" i="73"/>
  <c r="G48" i="92"/>
  <c r="C32" i="73"/>
  <c r="G27" i="92"/>
  <c r="H47" i="92"/>
  <c r="G30" i="92"/>
  <c r="H50" i="92"/>
  <c r="G43" i="83"/>
  <c r="G45" i="83"/>
  <c r="G39" i="83"/>
  <c r="G41" i="83"/>
  <c r="D26" i="130"/>
  <c r="G36" i="92"/>
  <c r="G19" i="83"/>
  <c r="D25" i="130"/>
  <c r="D30" i="73"/>
  <c r="D35" i="130"/>
  <c r="F35" i="73"/>
  <c r="G44" i="92"/>
  <c r="H30" i="92"/>
  <c r="F32" i="73"/>
  <c r="G31" i="92"/>
  <c r="G50" i="92"/>
  <c r="H23" i="92"/>
  <c r="G29" i="92"/>
  <c r="G26" i="108"/>
  <c r="G40" i="83"/>
  <c r="H45" i="83"/>
  <c r="G20" i="83"/>
  <c r="G25" i="83"/>
  <c r="H33" i="83"/>
  <c r="D48" i="130"/>
  <c r="D36" i="130"/>
  <c r="D24" i="130"/>
  <c r="E35" i="73"/>
  <c r="D34" i="73"/>
  <c r="G47" i="83"/>
  <c r="H26" i="108" l="1"/>
  <c r="G27" i="73"/>
  <c r="B10" i="130"/>
  <c r="I50" i="94"/>
  <c r="G19" i="94"/>
  <c r="I40" i="94"/>
  <c r="I36" i="94"/>
  <c r="G25" i="94"/>
  <c r="G23" i="94"/>
  <c r="G18" i="94"/>
  <c r="I52" i="94"/>
  <c r="H52" i="94"/>
  <c r="G52" i="94"/>
  <c r="B15" i="126"/>
  <c r="G25" i="108"/>
  <c r="C15" i="126"/>
  <c r="C15" i="127"/>
  <c r="H42" i="97"/>
  <c r="H38" i="97"/>
  <c r="G40" i="97"/>
  <c r="H37" i="97"/>
  <c r="H44" i="97"/>
  <c r="H43" i="97"/>
  <c r="G44" i="97"/>
  <c r="G38" i="94"/>
  <c r="H18" i="94"/>
  <c r="G27" i="94"/>
  <c r="F25" i="108"/>
  <c r="H43" i="94"/>
  <c r="I26" i="94"/>
  <c r="G29" i="94"/>
  <c r="D15" i="127"/>
  <c r="G49" i="94"/>
  <c r="H42" i="94"/>
  <c r="G26" i="94"/>
  <c r="I47" i="94"/>
  <c r="C15" i="122"/>
  <c r="G28" i="94"/>
  <c r="G24" i="97"/>
  <c r="G31" i="97"/>
  <c r="H47" i="97"/>
  <c r="G17" i="97"/>
  <c r="G35" i="97"/>
  <c r="G45" i="97"/>
  <c r="G25" i="97"/>
  <c r="I46" i="94"/>
  <c r="I33" i="94"/>
  <c r="G44" i="94"/>
  <c r="J44" i="94"/>
  <c r="H29" i="94"/>
  <c r="G40" i="94"/>
  <c r="D15" i="125"/>
  <c r="B15" i="127"/>
  <c r="G33" i="94"/>
  <c r="H30" i="94"/>
  <c r="J34" i="94"/>
  <c r="J46" i="94"/>
  <c r="F24" i="108"/>
  <c r="H23" i="94"/>
  <c r="H19" i="97"/>
  <c r="H27" i="97"/>
  <c r="H32" i="97"/>
  <c r="H48" i="97"/>
  <c r="G23" i="97"/>
  <c r="H52" i="97"/>
  <c r="H17" i="97"/>
  <c r="G23" i="108"/>
  <c r="I19" i="94"/>
  <c r="J38" i="94"/>
  <c r="J45" i="94"/>
  <c r="H49" i="94"/>
  <c r="J55" i="94"/>
  <c r="G39" i="94"/>
  <c r="J37" i="94"/>
  <c r="D25" i="108"/>
  <c r="G46" i="94"/>
  <c r="I43" i="94"/>
  <c r="J53" i="94"/>
  <c r="G20" i="94"/>
  <c r="I53" i="94"/>
  <c r="C15" i="123"/>
  <c r="H31" i="97"/>
  <c r="G30" i="97"/>
  <c r="H25" i="97"/>
  <c r="H30" i="97"/>
  <c r="G21" i="97"/>
  <c r="H26" i="97"/>
  <c r="G36" i="97"/>
  <c r="J27" i="94"/>
  <c r="I27" i="94"/>
  <c r="J51" i="94"/>
  <c r="J54" i="94"/>
  <c r="H51" i="94"/>
  <c r="J28" i="94"/>
  <c r="J30" i="94"/>
  <c r="I18" i="94"/>
  <c r="J52" i="94"/>
  <c r="G22" i="94"/>
  <c r="G32" i="94"/>
  <c r="H55" i="94"/>
  <c r="I54" i="94"/>
  <c r="H21" i="94"/>
  <c r="G53" i="94"/>
  <c r="H49" i="97"/>
  <c r="J23" i="94"/>
  <c r="H38" i="94"/>
  <c r="B15" i="125"/>
  <c r="H44" i="94"/>
  <c r="H26" i="94"/>
  <c r="I29" i="94"/>
  <c r="H25" i="94"/>
  <c r="J26" i="94"/>
  <c r="G54" i="94"/>
  <c r="G42" i="94"/>
  <c r="H34" i="94"/>
  <c r="H46" i="94"/>
  <c r="G50" i="94"/>
  <c r="I20" i="94"/>
  <c r="B15" i="122"/>
  <c r="G49" i="97"/>
  <c r="G22" i="97"/>
  <c r="G20" i="97"/>
  <c r="G28" i="97"/>
  <c r="G42" i="97"/>
  <c r="H29" i="97"/>
  <c r="H33" i="97"/>
  <c r="I39" i="94"/>
  <c r="C15" i="121"/>
  <c r="E23" i="108"/>
  <c r="I24" i="94"/>
  <c r="H33" i="94"/>
  <c r="J35" i="94"/>
  <c r="I49" i="94"/>
  <c r="B15" i="121"/>
  <c r="H53" i="94"/>
  <c r="J36" i="94"/>
  <c r="I25" i="94"/>
  <c r="G55" i="94"/>
  <c r="H32" i="94"/>
  <c r="J24" i="94"/>
  <c r="I34" i="94"/>
  <c r="G50" i="97"/>
  <c r="G34" i="97"/>
  <c r="G51" i="97"/>
  <c r="H22" i="97"/>
  <c r="H45" i="97"/>
  <c r="H28" i="97"/>
  <c r="H51" i="97"/>
  <c r="G31" i="94"/>
  <c r="I48" i="94"/>
  <c r="H20" i="94"/>
  <c r="G47" i="94"/>
  <c r="J31" i="94"/>
  <c r="I42" i="94"/>
  <c r="G34" i="94"/>
  <c r="J32" i="94"/>
  <c r="H48" i="94"/>
  <c r="I32" i="94"/>
  <c r="H22" i="94"/>
  <c r="H36" i="94"/>
  <c r="I38" i="94"/>
  <c r="H31" i="94"/>
  <c r="G36" i="94"/>
  <c r="H23" i="97"/>
  <c r="G33" i="97"/>
  <c r="H40" i="97"/>
  <c r="G41" i="97"/>
  <c r="H41" i="97"/>
  <c r="H35" i="97"/>
  <c r="H39" i="97"/>
  <c r="H50" i="94"/>
  <c r="J49" i="94"/>
  <c r="H24" i="94"/>
  <c r="I51" i="94"/>
  <c r="B15" i="124"/>
  <c r="J41" i="94"/>
  <c r="G51" i="94"/>
  <c r="J18" i="94"/>
  <c r="J48" i="94"/>
  <c r="H28" i="94"/>
  <c r="I30" i="94"/>
  <c r="J19" i="94"/>
  <c r="J42" i="94"/>
  <c r="H45" i="94"/>
  <c r="G27" i="97"/>
  <c r="G32" i="97"/>
  <c r="H34" i="97"/>
  <c r="G47" i="97"/>
  <c r="G19" i="97"/>
  <c r="H24" i="97"/>
  <c r="G46" i="97"/>
  <c r="J39" i="94"/>
  <c r="H35" i="94"/>
  <c r="I22" i="94"/>
  <c r="H40" i="94"/>
  <c r="E24" i="108"/>
  <c r="I37" i="94"/>
  <c r="H54" i="94"/>
  <c r="I31" i="94"/>
  <c r="J47" i="94"/>
  <c r="D15" i="123"/>
  <c r="I44" i="94"/>
  <c r="G37" i="94"/>
  <c r="I55" i="94"/>
  <c r="C15" i="124"/>
  <c r="G43" i="97"/>
  <c r="G38" i="97"/>
  <c r="G48" i="97"/>
  <c r="H50" i="97"/>
  <c r="G18" i="97"/>
  <c r="H18" i="97"/>
  <c r="J20" i="94"/>
  <c r="C15" i="125"/>
  <c r="J21" i="94"/>
  <c r="C25" i="108"/>
  <c r="G24" i="94"/>
  <c r="J40" i="94"/>
  <c r="H41" i="94"/>
  <c r="D15" i="124"/>
  <c r="G43" i="94"/>
  <c r="B15" i="123"/>
  <c r="J43" i="94"/>
  <c r="D15" i="126"/>
  <c r="J29" i="94"/>
  <c r="I28" i="94"/>
  <c r="G26" i="97"/>
  <c r="H21" i="97"/>
  <c r="G30" i="94"/>
  <c r="J22" i="94"/>
  <c r="H37" i="94"/>
  <c r="J50" i="94"/>
  <c r="H19" i="94"/>
  <c r="I23" i="94"/>
  <c r="E25" i="108"/>
  <c r="H27" i="94"/>
  <c r="H47" i="94"/>
  <c r="F23" i="108"/>
  <c r="J33" i="94"/>
  <c r="D15" i="122"/>
  <c r="J25" i="94"/>
  <c r="H39" i="94"/>
  <c r="H36" i="97"/>
  <c r="H20" i="97"/>
  <c r="G37" i="97"/>
  <c r="G52" i="97"/>
  <c r="G39" i="97"/>
  <c r="G29" i="97"/>
  <c r="H46" i="97"/>
  <c r="H23" i="108" l="1"/>
  <c r="H25" i="108"/>
  <c r="I25" i="108"/>
  <c r="G22" i="108"/>
  <c r="D23" i="108"/>
  <c r="E22" i="108"/>
  <c r="C23" i="108"/>
  <c r="F22" i="108"/>
  <c r="C22" i="108"/>
  <c r="D22" i="108"/>
  <c r="H22" i="108" l="1"/>
  <c r="I22" i="108"/>
  <c r="I23" i="108"/>
  <c r="H40" i="120"/>
  <c r="J21" i="120"/>
  <c r="G43" i="120"/>
  <c r="I53" i="120"/>
  <c r="H38" i="120"/>
  <c r="H46" i="120"/>
  <c r="J52" i="120"/>
  <c r="I19" i="120"/>
  <c r="H50" i="120"/>
  <c r="H42" i="120"/>
  <c r="J44" i="120"/>
  <c r="I38" i="120"/>
  <c r="J53" i="120"/>
  <c r="J28" i="120"/>
  <c r="J19" i="120"/>
  <c r="G55" i="120"/>
  <c r="J18" i="120"/>
  <c r="I48" i="120"/>
  <c r="I32" i="120"/>
  <c r="H55" i="120"/>
  <c r="I51" i="120"/>
  <c r="H49" i="120"/>
  <c r="H41" i="120"/>
  <c r="H54" i="120"/>
  <c r="I22" i="120"/>
  <c r="I36" i="120"/>
  <c r="I29" i="120"/>
  <c r="J46" i="120"/>
  <c r="J41" i="120"/>
  <c r="G45" i="120"/>
  <c r="G53" i="120"/>
  <c r="J36" i="120"/>
  <c r="G51" i="120"/>
  <c r="H39" i="120"/>
  <c r="H29" i="120"/>
  <c r="J34" i="120"/>
  <c r="I55" i="120"/>
  <c r="G49" i="120"/>
  <c r="J55" i="120"/>
  <c r="I52" i="120"/>
  <c r="I44" i="120"/>
  <c r="H45" i="120"/>
  <c r="I54" i="120"/>
  <c r="I24" i="120"/>
  <c r="I23" i="120"/>
  <c r="H47" i="120"/>
  <c r="I37" i="120"/>
  <c r="I50" i="120"/>
  <c r="H32" i="120"/>
  <c r="J50" i="120"/>
  <c r="H48" i="120"/>
  <c r="I20" i="120"/>
  <c r="J29" i="120"/>
  <c r="J24" i="120"/>
  <c r="H18" i="120"/>
  <c r="H28" i="120"/>
  <c r="H25" i="120"/>
  <c r="J38" i="120"/>
  <c r="J31" i="120"/>
  <c r="J49" i="120"/>
  <c r="H19" i="120"/>
  <c r="H31" i="120"/>
  <c r="J51" i="120"/>
  <c r="I43" i="120"/>
  <c r="H22" i="120"/>
  <c r="J23" i="120"/>
  <c r="J20" i="120"/>
  <c r="H26" i="120"/>
  <c r="I45" i="120"/>
  <c r="H43" i="120"/>
  <c r="J37" i="120"/>
  <c r="I28" i="120"/>
  <c r="H44" i="120"/>
  <c r="H51" i="120"/>
  <c r="J39" i="120"/>
  <c r="J32" i="120"/>
  <c r="H52" i="120"/>
  <c r="G50" i="120"/>
  <c r="H24" i="120"/>
  <c r="I25" i="120"/>
  <c r="I39" i="120"/>
  <c r="I31" i="120"/>
  <c r="I33" i="120"/>
  <c r="H53" i="120"/>
  <c r="H36" i="120"/>
  <c r="J25" i="120"/>
  <c r="J45" i="120"/>
  <c r="H21" i="120"/>
  <c r="I46" i="120"/>
  <c r="H30" i="120"/>
  <c r="J54" i="120"/>
  <c r="J22" i="120"/>
  <c r="J48" i="120"/>
  <c r="G42" i="120"/>
  <c r="I47" i="120"/>
  <c r="G46" i="120"/>
  <c r="H34" i="120"/>
  <c r="G47" i="120"/>
  <c r="G40" i="120"/>
  <c r="I26" i="120"/>
  <c r="H23" i="120"/>
  <c r="I40" i="120"/>
  <c r="H33" i="120"/>
  <c r="I34" i="120"/>
  <c r="J27" i="120"/>
  <c r="J43" i="120"/>
  <c r="J33" i="120"/>
  <c r="H37" i="120"/>
  <c r="J26" i="120"/>
  <c r="H35" i="120"/>
  <c r="I49" i="120"/>
  <c r="J47" i="120"/>
  <c r="H27" i="120"/>
  <c r="I18" i="120"/>
  <c r="J35" i="120"/>
  <c r="I30" i="120"/>
  <c r="G54" i="120"/>
  <c r="J42" i="120"/>
  <c r="J40" i="120"/>
  <c r="J30" i="120"/>
  <c r="G52" i="120"/>
  <c r="I42" i="120"/>
  <c r="G44" i="120"/>
  <c r="I27" i="120"/>
  <c r="B13" i="120" l="1"/>
  <c r="G24" i="73" s="1"/>
  <c r="B11" i="77" l="1"/>
  <c r="B10" i="77"/>
  <c r="B9" i="77"/>
  <c r="B8" i="77"/>
  <c r="B12" i="97" l="1"/>
  <c r="B11" i="97"/>
  <c r="F26" i="73" s="1"/>
  <c r="B10" i="97"/>
  <c r="E26" i="73" s="1"/>
  <c r="B9" i="97"/>
  <c r="D26" i="73" s="1"/>
  <c r="B8" i="97"/>
  <c r="C26" i="73" s="1"/>
  <c r="H35" i="77"/>
  <c r="I39" i="82"/>
  <c r="G17" i="80"/>
  <c r="H36" i="85"/>
  <c r="H31" i="90"/>
  <c r="G37" i="89"/>
  <c r="G39" i="84"/>
  <c r="H32" i="85"/>
  <c r="H17" i="77"/>
  <c r="E17" i="108"/>
  <c r="I17" i="82"/>
  <c r="H46" i="81"/>
  <c r="H31" i="95"/>
  <c r="G24" i="89"/>
  <c r="G25" i="88"/>
  <c r="G38" i="80"/>
  <c r="J41" i="89"/>
  <c r="G20" i="86"/>
  <c r="G44" i="82"/>
  <c r="G19" i="80"/>
  <c r="G21" i="85"/>
  <c r="H48" i="90"/>
  <c r="J35" i="89"/>
  <c r="G27" i="84"/>
  <c r="H17" i="85"/>
  <c r="G41" i="90"/>
  <c r="H21" i="86"/>
  <c r="H19" i="89"/>
  <c r="H34" i="86"/>
  <c r="F20" i="108"/>
  <c r="G33" i="82"/>
  <c r="H27" i="81"/>
  <c r="G19" i="95"/>
  <c r="H23" i="89"/>
  <c r="H26" i="88"/>
  <c r="G30" i="86"/>
  <c r="H18" i="82"/>
  <c r="H31" i="85"/>
  <c r="H46" i="86"/>
  <c r="H17" i="82"/>
  <c r="G22" i="80"/>
  <c r="G17" i="85"/>
  <c r="H25" i="90"/>
  <c r="H50" i="89"/>
  <c r="G30" i="84"/>
  <c r="G24" i="80"/>
  <c r="G37" i="86"/>
  <c r="H28" i="81"/>
  <c r="J22" i="89"/>
  <c r="G54" i="89"/>
  <c r="G26" i="84"/>
  <c r="G18" i="120"/>
  <c r="G50" i="77"/>
  <c r="G51" i="88"/>
  <c r="H49" i="86"/>
  <c r="H23" i="81"/>
  <c r="J44" i="89"/>
  <c r="G51" i="81"/>
  <c r="J45" i="82"/>
  <c r="G30" i="82"/>
  <c r="H23" i="77"/>
  <c r="G12" i="108"/>
  <c r="H23" i="85"/>
  <c r="H33" i="88"/>
  <c r="G48" i="81"/>
  <c r="H32" i="84"/>
  <c r="G54" i="84"/>
  <c r="H40" i="86"/>
  <c r="H23" i="86"/>
  <c r="H27" i="85"/>
  <c r="I48" i="89"/>
  <c r="H30" i="86"/>
  <c r="H18" i="81"/>
  <c r="G44" i="90"/>
  <c r="G50" i="90"/>
  <c r="H50" i="77"/>
  <c r="G49" i="81"/>
  <c r="E21" i="108"/>
  <c r="H18" i="84"/>
  <c r="I45" i="89"/>
  <c r="J27" i="89"/>
  <c r="G17" i="88"/>
  <c r="H30" i="80"/>
  <c r="I17" i="96"/>
  <c r="G49" i="96"/>
  <c r="G43" i="96"/>
  <c r="H29" i="96"/>
  <c r="I40" i="96"/>
  <c r="G40" i="96"/>
  <c r="I29" i="96"/>
  <c r="I46" i="96"/>
  <c r="G39" i="96"/>
  <c r="G29" i="96"/>
  <c r="J40" i="96"/>
  <c r="G36" i="96"/>
  <c r="B9" i="85"/>
  <c r="G18" i="77"/>
  <c r="I44" i="82"/>
  <c r="H38" i="80"/>
  <c r="H19" i="85"/>
  <c r="G24" i="90"/>
  <c r="J30" i="89"/>
  <c r="G23" i="84"/>
  <c r="J31" i="95"/>
  <c r="G53" i="77"/>
  <c r="G15" i="108"/>
  <c r="I32" i="82"/>
  <c r="G34" i="81"/>
  <c r="I31" i="95"/>
  <c r="I22" i="89"/>
  <c r="H54" i="88"/>
  <c r="G49" i="80"/>
  <c r="G23" i="89"/>
  <c r="G42" i="86"/>
  <c r="J46" i="82"/>
  <c r="H47" i="80"/>
  <c r="G22" i="85"/>
  <c r="H26" i="90"/>
  <c r="H29" i="89"/>
  <c r="G48" i="84"/>
  <c r="G29" i="120"/>
  <c r="H20" i="77"/>
  <c r="F14" i="108"/>
  <c r="I38" i="89"/>
  <c r="G19" i="77"/>
  <c r="F10" i="108"/>
  <c r="G39" i="82"/>
  <c r="H29" i="81"/>
  <c r="J54" i="95"/>
  <c r="H43" i="89"/>
  <c r="G38" i="88"/>
  <c r="H29" i="77"/>
  <c r="G26" i="82"/>
  <c r="G34" i="120"/>
  <c r="H41" i="86"/>
  <c r="J22" i="82"/>
  <c r="H35" i="81"/>
  <c r="G26" i="85"/>
  <c r="H27" i="89"/>
  <c r="G49" i="88"/>
  <c r="H29" i="84"/>
  <c r="G52" i="81"/>
  <c r="H45" i="77"/>
  <c r="H22" i="85"/>
  <c r="G51" i="89"/>
  <c r="H30" i="88"/>
  <c r="H38" i="84"/>
  <c r="G22" i="89"/>
  <c r="I45" i="82"/>
  <c r="G50" i="86"/>
  <c r="G46" i="86"/>
  <c r="H43" i="85"/>
  <c r="I54" i="89"/>
  <c r="H51" i="85"/>
  <c r="H53" i="80"/>
  <c r="H29" i="82"/>
  <c r="H23" i="80"/>
  <c r="I38" i="82"/>
  <c r="G48" i="85"/>
  <c r="G37" i="88"/>
  <c r="G27" i="95"/>
  <c r="G24" i="108"/>
  <c r="G54" i="86"/>
  <c r="J49" i="82"/>
  <c r="F21" i="108"/>
  <c r="G29" i="85"/>
  <c r="H52" i="88"/>
  <c r="J44" i="82"/>
  <c r="H45" i="95"/>
  <c r="G47" i="89"/>
  <c r="J32" i="89"/>
  <c r="H33" i="77"/>
  <c r="H33" i="85"/>
  <c r="I26" i="82"/>
  <c r="G44" i="77"/>
  <c r="H50" i="88"/>
  <c r="G17" i="84"/>
  <c r="H51" i="77"/>
  <c r="G25" i="120"/>
  <c r="H24" i="96"/>
  <c r="H42" i="96"/>
  <c r="J32" i="96"/>
  <c r="G46" i="96"/>
  <c r="J35" i="96"/>
  <c r="I28" i="96"/>
  <c r="I49" i="96"/>
  <c r="H41" i="96"/>
  <c r="J44" i="96"/>
  <c r="J19" i="96"/>
  <c r="J20" i="96"/>
  <c r="I25" i="96"/>
  <c r="J46" i="96"/>
  <c r="G31" i="77"/>
  <c r="G36" i="82"/>
  <c r="G50" i="80"/>
  <c r="H21" i="85"/>
  <c r="G36" i="90"/>
  <c r="I47" i="89"/>
  <c r="G31" i="84"/>
  <c r="G48" i="90"/>
  <c r="G40" i="86"/>
  <c r="E19" i="108"/>
  <c r="I22" i="82"/>
  <c r="H22" i="81"/>
  <c r="H27" i="95"/>
  <c r="G31" i="89"/>
  <c r="H24" i="88"/>
  <c r="G17" i="81"/>
  <c r="G54" i="88"/>
  <c r="G35" i="86"/>
  <c r="J38" i="82"/>
  <c r="G20" i="80"/>
  <c r="G18" i="85"/>
  <c r="H37" i="90"/>
  <c r="G50" i="89"/>
  <c r="H54" i="84"/>
  <c r="G23" i="95"/>
  <c r="H26" i="77"/>
  <c r="E11" i="108"/>
  <c r="I30" i="89"/>
  <c r="G35" i="77"/>
  <c r="G18" i="108"/>
  <c r="H37" i="80"/>
  <c r="H50" i="81"/>
  <c r="H39" i="90"/>
  <c r="J28" i="89"/>
  <c r="G39" i="88"/>
  <c r="G32" i="86"/>
  <c r="G18" i="82"/>
  <c r="G17" i="90"/>
  <c r="H19" i="77"/>
  <c r="J40" i="82"/>
  <c r="G41" i="81"/>
  <c r="G23" i="120"/>
  <c r="H49" i="89"/>
  <c r="H42" i="88"/>
  <c r="G19" i="86"/>
  <c r="G28" i="81"/>
  <c r="G20" i="108"/>
  <c r="H40" i="85"/>
  <c r="G32" i="88"/>
  <c r="H20" i="84"/>
  <c r="G17" i="77"/>
  <c r="H45" i="88"/>
  <c r="H31" i="80"/>
  <c r="H44" i="82"/>
  <c r="G17" i="108"/>
  <c r="G31" i="85"/>
  <c r="G28" i="88"/>
  <c r="J20" i="89"/>
  <c r="G26" i="81"/>
  <c r="H24" i="81"/>
  <c r="I43" i="95"/>
  <c r="I46" i="82"/>
  <c r="G30" i="95"/>
  <c r="G47" i="88"/>
  <c r="I19" i="89"/>
  <c r="G28" i="80"/>
  <c r="H21" i="82"/>
  <c r="G50" i="81"/>
  <c r="J33" i="82"/>
  <c r="G47" i="85"/>
  <c r="H21" i="88"/>
  <c r="I41" i="82"/>
  <c r="G43" i="89"/>
  <c r="H23" i="84"/>
  <c r="G50" i="88"/>
  <c r="F17" i="108"/>
  <c r="G19" i="85"/>
  <c r="G45" i="80"/>
  <c r="G50" i="82"/>
  <c r="H48" i="86"/>
  <c r="G48" i="77"/>
  <c r="G27" i="80"/>
  <c r="G19" i="89"/>
  <c r="G19" i="96"/>
  <c r="J45" i="96"/>
  <c r="H49" i="96"/>
  <c r="J48" i="96"/>
  <c r="G24" i="96"/>
  <c r="I19" i="96"/>
  <c r="H39" i="96"/>
  <c r="I45" i="96"/>
  <c r="G38" i="96"/>
  <c r="G18" i="96"/>
  <c r="H22" i="96"/>
  <c r="J47" i="96"/>
  <c r="H43" i="96"/>
  <c r="G23" i="86"/>
  <c r="H25" i="82"/>
  <c r="H38" i="81"/>
  <c r="G36" i="120"/>
  <c r="H41" i="89"/>
  <c r="H46" i="88"/>
  <c r="H31" i="84"/>
  <c r="J24" i="89"/>
  <c r="G31" i="86"/>
  <c r="E9" i="108"/>
  <c r="G40" i="80"/>
  <c r="G22" i="81"/>
  <c r="H20" i="90"/>
  <c r="G17" i="89"/>
  <c r="G24" i="88"/>
  <c r="H52" i="85"/>
  <c r="H34" i="88"/>
  <c r="G51" i="77"/>
  <c r="I48" i="82"/>
  <c r="G44" i="80"/>
  <c r="G38" i="85"/>
  <c r="G19" i="90"/>
  <c r="J21" i="89"/>
  <c r="H26" i="84"/>
  <c r="G47" i="90"/>
  <c r="G38" i="86"/>
  <c r="G13" i="108"/>
  <c r="H44" i="88"/>
  <c r="H43" i="77"/>
  <c r="J25" i="82"/>
  <c r="H24" i="80"/>
  <c r="G42" i="85"/>
  <c r="G34" i="90"/>
  <c r="J50" i="89"/>
  <c r="H30" i="84"/>
  <c r="G37" i="77"/>
  <c r="G46" i="82"/>
  <c r="H34" i="77"/>
  <c r="G22" i="86"/>
  <c r="H46" i="82"/>
  <c r="G27" i="81"/>
  <c r="G38" i="120"/>
  <c r="G53" i="89"/>
  <c r="H28" i="88"/>
  <c r="E18" i="108"/>
  <c r="G51" i="85"/>
  <c r="G54" i="82"/>
  <c r="G35" i="85"/>
  <c r="G31" i="88"/>
  <c r="H30" i="77"/>
  <c r="H23" i="82"/>
  <c r="H38" i="86"/>
  <c r="B11" i="85"/>
  <c r="G48" i="80"/>
  <c r="H27" i="82"/>
  <c r="H41" i="85"/>
  <c r="G20" i="88"/>
  <c r="H38" i="88"/>
  <c r="G53" i="90"/>
  <c r="I49" i="89"/>
  <c r="G49" i="90"/>
  <c r="G32" i="82"/>
  <c r="H54" i="95"/>
  <c r="H41" i="88"/>
  <c r="H35" i="88"/>
  <c r="H49" i="85"/>
  <c r="H42" i="81"/>
  <c r="G32" i="85"/>
  <c r="I30" i="82"/>
  <c r="I35" i="95"/>
  <c r="H17" i="88"/>
  <c r="H26" i="80"/>
  <c r="H27" i="88"/>
  <c r="F11" i="108"/>
  <c r="G54" i="77"/>
  <c r="I43" i="82"/>
  <c r="H37" i="85"/>
  <c r="G30" i="85"/>
  <c r="H45" i="82"/>
  <c r="H47" i="82"/>
  <c r="G16" i="108"/>
  <c r="G19" i="120"/>
  <c r="G45" i="88"/>
  <c r="H40" i="96"/>
  <c r="I21" i="96"/>
  <c r="I31" i="96"/>
  <c r="H47" i="96"/>
  <c r="G31" i="96"/>
  <c r="H34" i="96"/>
  <c r="G54" i="96"/>
  <c r="J17" i="96"/>
  <c r="J42" i="96"/>
  <c r="H46" i="96"/>
  <c r="G27" i="96"/>
  <c r="J50" i="96"/>
  <c r="H35" i="96"/>
  <c r="G25" i="96"/>
  <c r="G24" i="77"/>
  <c r="H36" i="82"/>
  <c r="G21" i="81"/>
  <c r="G37" i="120"/>
  <c r="I27" i="89"/>
  <c r="H39" i="88"/>
  <c r="H42" i="82"/>
  <c r="J48" i="89"/>
  <c r="G33" i="77"/>
  <c r="G35" i="82"/>
  <c r="H44" i="80"/>
  <c r="H48" i="85"/>
  <c r="G40" i="90"/>
  <c r="I26" i="89"/>
  <c r="G25" i="84"/>
  <c r="H42" i="85"/>
  <c r="H49" i="84"/>
  <c r="G17" i="86"/>
  <c r="J48" i="82"/>
  <c r="G43" i="80"/>
  <c r="H28" i="85"/>
  <c r="G31" i="90"/>
  <c r="H34" i="89"/>
  <c r="G20" i="84"/>
  <c r="G28" i="90"/>
  <c r="G28" i="77"/>
  <c r="F13" i="108"/>
  <c r="G28" i="84"/>
  <c r="G21" i="77"/>
  <c r="J27" i="82"/>
  <c r="H32" i="80"/>
  <c r="G24" i="85"/>
  <c r="H24" i="90"/>
  <c r="I32" i="89"/>
  <c r="H35" i="84"/>
  <c r="H36" i="77"/>
  <c r="I50" i="82"/>
  <c r="G49" i="77"/>
  <c r="G19" i="108"/>
  <c r="G34" i="82"/>
  <c r="G23" i="81"/>
  <c r="I27" i="95"/>
  <c r="G30" i="89"/>
  <c r="H32" i="88"/>
  <c r="I42" i="82"/>
  <c r="H38" i="85"/>
  <c r="G24" i="82"/>
  <c r="J23" i="95"/>
  <c r="H40" i="88"/>
  <c r="G10" i="108"/>
  <c r="G20" i="81"/>
  <c r="H26" i="82"/>
  <c r="I41" i="89"/>
  <c r="H26" i="85"/>
  <c r="G27" i="82"/>
  <c r="H43" i="95"/>
  <c r="G23" i="88"/>
  <c r="H40" i="84"/>
  <c r="H28" i="89"/>
  <c r="G40" i="88"/>
  <c r="G49" i="89"/>
  <c r="H22" i="82"/>
  <c r="H51" i="90"/>
  <c r="G44" i="84"/>
  <c r="H44" i="86"/>
  <c r="G37" i="90"/>
  <c r="G39" i="90"/>
  <c r="H29" i="90"/>
  <c r="H41" i="82"/>
  <c r="I30" i="95"/>
  <c r="G24" i="84"/>
  <c r="G30" i="81"/>
  <c r="H48" i="77"/>
  <c r="G52" i="80"/>
  <c r="H40" i="82"/>
  <c r="H24" i="82"/>
  <c r="G45" i="95"/>
  <c r="G54" i="95"/>
  <c r="G33" i="81"/>
  <c r="J28" i="82"/>
  <c r="I28" i="82"/>
  <c r="J34" i="89"/>
  <c r="G48" i="96"/>
  <c r="G43" i="77"/>
  <c r="G23" i="77"/>
  <c r="J41" i="82"/>
  <c r="H19" i="81"/>
  <c r="I19" i="95"/>
  <c r="J45" i="89"/>
  <c r="G36" i="88"/>
  <c r="H48" i="82"/>
  <c r="H36" i="89"/>
  <c r="G47" i="77"/>
  <c r="I49" i="82"/>
  <c r="H19" i="80"/>
  <c r="G46" i="85"/>
  <c r="G54" i="90"/>
  <c r="J37" i="89"/>
  <c r="H36" i="84"/>
  <c r="G27" i="85"/>
  <c r="G25" i="81"/>
  <c r="H25" i="77"/>
  <c r="G38" i="82"/>
  <c r="H28" i="80"/>
  <c r="H50" i="85"/>
  <c r="I39" i="89"/>
  <c r="I23" i="89"/>
  <c r="H33" i="84"/>
  <c r="I31" i="89"/>
  <c r="G45" i="77"/>
  <c r="H50" i="82"/>
  <c r="G19" i="84"/>
  <c r="G36" i="77"/>
  <c r="J24" i="82"/>
  <c r="H17" i="80"/>
  <c r="H46" i="85"/>
  <c r="G25" i="90"/>
  <c r="H54" i="89"/>
  <c r="G42" i="84"/>
  <c r="H21" i="77"/>
  <c r="H35" i="80"/>
  <c r="H26" i="86"/>
  <c r="G11" i="108"/>
  <c r="H19" i="82"/>
  <c r="H44" i="81"/>
  <c r="I17" i="95"/>
  <c r="H47" i="89"/>
  <c r="H22" i="88"/>
  <c r="I35" i="82"/>
  <c r="G39" i="120"/>
  <c r="I23" i="82"/>
  <c r="I23" i="95"/>
  <c r="G29" i="88"/>
  <c r="G28" i="82"/>
  <c r="G31" i="120"/>
  <c r="H18" i="80"/>
  <c r="G22" i="88"/>
  <c r="H52" i="90"/>
  <c r="H33" i="82"/>
  <c r="J27" i="95"/>
  <c r="G50" i="84"/>
  <c r="H32" i="86"/>
  <c r="H19" i="84"/>
  <c r="H33" i="86"/>
  <c r="H53" i="88"/>
  <c r="J34" i="82"/>
  <c r="G45" i="90"/>
  <c r="G35" i="84"/>
  <c r="E13" i="108"/>
  <c r="G35" i="89"/>
  <c r="H37" i="89"/>
  <c r="G27" i="89"/>
  <c r="G22" i="82"/>
  <c r="H19" i="90"/>
  <c r="H28" i="84"/>
  <c r="G25" i="85"/>
  <c r="I34" i="82"/>
  <c r="G43" i="95"/>
  <c r="G40" i="85"/>
  <c r="J37" i="82"/>
  <c r="H17" i="95"/>
  <c r="H42" i="90"/>
  <c r="G33" i="90"/>
  <c r="H40" i="81"/>
  <c r="H25" i="85"/>
  <c r="H48" i="84"/>
  <c r="B10" i="85"/>
  <c r="G41" i="96"/>
  <c r="H54" i="96"/>
  <c r="J30" i="96"/>
  <c r="G20" i="96"/>
  <c r="J27" i="96"/>
  <c r="H25" i="96"/>
  <c r="J28" i="96"/>
  <c r="H33" i="96"/>
  <c r="J37" i="96"/>
  <c r="I38" i="96"/>
  <c r="J25" i="96"/>
  <c r="J33" i="96"/>
  <c r="I20" i="96"/>
  <c r="H51" i="86"/>
  <c r="G14" i="108"/>
  <c r="I33" i="82"/>
  <c r="H34" i="81"/>
  <c r="J30" i="95"/>
  <c r="G39" i="89"/>
  <c r="H36" i="88"/>
  <c r="I36" i="82"/>
  <c r="G27" i="88"/>
  <c r="H22" i="77"/>
  <c r="J26" i="82"/>
  <c r="G39" i="80"/>
  <c r="G41" i="85"/>
  <c r="H33" i="90"/>
  <c r="I40" i="89"/>
  <c r="H42" i="84"/>
  <c r="G24" i="120"/>
  <c r="G32" i="90"/>
  <c r="H24" i="77"/>
  <c r="J47" i="82"/>
  <c r="H37" i="81"/>
  <c r="G20" i="120"/>
  <c r="H42" i="89"/>
  <c r="H43" i="88"/>
  <c r="G41" i="82"/>
  <c r="G46" i="89"/>
  <c r="H28" i="77"/>
  <c r="J19" i="82"/>
  <c r="G36" i="85"/>
  <c r="H31" i="77"/>
  <c r="I18" i="82"/>
  <c r="G34" i="80"/>
  <c r="H30" i="85"/>
  <c r="H53" i="90"/>
  <c r="J47" i="89"/>
  <c r="H17" i="84"/>
  <c r="G29" i="86"/>
  <c r="G51" i="80"/>
  <c r="H37" i="77"/>
  <c r="E15" i="108"/>
  <c r="I40" i="82"/>
  <c r="G40" i="81"/>
  <c r="J19" i="95"/>
  <c r="J25" i="89"/>
  <c r="H23" i="88"/>
  <c r="G47" i="82"/>
  <c r="J45" i="95"/>
  <c r="J35" i="82"/>
  <c r="G18" i="90"/>
  <c r="G34" i="84"/>
  <c r="H49" i="80"/>
  <c r="G42" i="89"/>
  <c r="H21" i="81"/>
  <c r="H45" i="86"/>
  <c r="J49" i="89"/>
  <c r="I20" i="82"/>
  <c r="H38" i="90"/>
  <c r="G33" i="84"/>
  <c r="J18" i="82"/>
  <c r="H24" i="86"/>
  <c r="I19" i="82"/>
  <c r="H52" i="77"/>
  <c r="G47" i="80"/>
  <c r="I35" i="89"/>
  <c r="H54" i="90"/>
  <c r="I31" i="82"/>
  <c r="H37" i="88"/>
  <c r="G47" i="84"/>
  <c r="G46" i="88"/>
  <c r="J36" i="82"/>
  <c r="G52" i="90"/>
  <c r="G36" i="84"/>
  <c r="H50" i="90"/>
  <c r="G37" i="81"/>
  <c r="G35" i="90"/>
  <c r="H32" i="89"/>
  <c r="G49" i="82"/>
  <c r="G22" i="90"/>
  <c r="J23" i="89"/>
  <c r="H30" i="89"/>
  <c r="I29" i="89"/>
  <c r="H18" i="90"/>
  <c r="F16" i="108"/>
  <c r="J18" i="96"/>
  <c r="H38" i="96"/>
  <c r="H36" i="96"/>
  <c r="I43" i="96"/>
  <c r="J29" i="96"/>
  <c r="J51" i="96"/>
  <c r="G35" i="96"/>
  <c r="H27" i="96"/>
  <c r="G26" i="96"/>
  <c r="G32" i="96"/>
  <c r="I35" i="96"/>
  <c r="I39" i="96"/>
  <c r="J38" i="96"/>
  <c r="J24" i="96"/>
  <c r="H39" i="77"/>
  <c r="E10" i="108"/>
  <c r="J50" i="82"/>
  <c r="G54" i="81"/>
  <c r="G31" i="95"/>
  <c r="H40" i="89"/>
  <c r="H31" i="88"/>
  <c r="J32" i="82"/>
  <c r="G53" i="84"/>
  <c r="H22" i="86"/>
  <c r="G19" i="82"/>
  <c r="H51" i="80"/>
  <c r="H45" i="85"/>
  <c r="G42" i="90"/>
  <c r="J42" i="89"/>
  <c r="G37" i="84"/>
  <c r="G17" i="95"/>
  <c r="H21" i="89"/>
  <c r="G39" i="77"/>
  <c r="H37" i="82"/>
  <c r="H53" i="81"/>
  <c r="G22" i="120"/>
  <c r="H18" i="89"/>
  <c r="H48" i="88"/>
  <c r="G35" i="80"/>
  <c r="J54" i="89"/>
  <c r="H27" i="77"/>
  <c r="H32" i="82"/>
  <c r="I45" i="95"/>
  <c r="G38" i="77"/>
  <c r="H49" i="82"/>
  <c r="G23" i="80"/>
  <c r="H24" i="85"/>
  <c r="H22" i="90"/>
  <c r="J46" i="89"/>
  <c r="H43" i="84"/>
  <c r="H35" i="86"/>
  <c r="G53" i="80"/>
  <c r="H29" i="86"/>
  <c r="H54" i="82"/>
  <c r="G42" i="80"/>
  <c r="H39" i="81"/>
  <c r="H32" i="90"/>
  <c r="G38" i="89"/>
  <c r="G41" i="88"/>
  <c r="G45" i="82"/>
  <c r="H44" i="90"/>
  <c r="J42" i="82"/>
  <c r="H45" i="90"/>
  <c r="H46" i="84"/>
  <c r="G34" i="85"/>
  <c r="G41" i="89"/>
  <c r="H23" i="95"/>
  <c r="H30" i="82"/>
  <c r="H27" i="84"/>
  <c r="J23" i="82"/>
  <c r="G21" i="90"/>
  <c r="J33" i="89"/>
  <c r="G42" i="81"/>
  <c r="H34" i="80"/>
  <c r="H36" i="80"/>
  <c r="G26" i="86"/>
  <c r="G54" i="80"/>
  <c r="H46" i="89"/>
  <c r="G33" i="89"/>
  <c r="G31" i="80"/>
  <c r="H50" i="84"/>
  <c r="H28" i="86"/>
  <c r="H17" i="86"/>
  <c r="G26" i="80"/>
  <c r="G48" i="89"/>
  <c r="G41" i="84"/>
  <c r="J29" i="89"/>
  <c r="J19" i="89"/>
  <c r="J31" i="89"/>
  <c r="G18" i="84"/>
  <c r="G29" i="82"/>
  <c r="G42" i="88"/>
  <c r="G43" i="84"/>
  <c r="H19" i="86"/>
  <c r="G30" i="88"/>
  <c r="I17" i="89"/>
  <c r="J54" i="82"/>
  <c r="I24" i="96"/>
  <c r="J23" i="96"/>
  <c r="I22" i="96"/>
  <c r="H48" i="96"/>
  <c r="I26" i="96"/>
  <c r="I36" i="96"/>
  <c r="G33" i="96"/>
  <c r="I37" i="96"/>
  <c r="I48" i="96"/>
  <c r="G50" i="96"/>
  <c r="J41" i="96"/>
  <c r="I54" i="96"/>
  <c r="I42" i="96"/>
  <c r="H36" i="86"/>
  <c r="G9" i="108"/>
  <c r="J30" i="82"/>
  <c r="G39" i="81"/>
  <c r="H30" i="90"/>
  <c r="H20" i="89"/>
  <c r="G34" i="88"/>
  <c r="H43" i="80"/>
  <c r="G52" i="84"/>
  <c r="H47" i="77"/>
  <c r="I47" i="82"/>
  <c r="G25" i="80"/>
  <c r="G52" i="85"/>
  <c r="G27" i="90"/>
  <c r="J40" i="89"/>
  <c r="H51" i="84"/>
  <c r="G46" i="90"/>
  <c r="G34" i="77"/>
  <c r="E12" i="108"/>
  <c r="J43" i="82"/>
  <c r="H30" i="81"/>
  <c r="H19" i="95"/>
  <c r="J51" i="89"/>
  <c r="G21" i="88"/>
  <c r="H20" i="80"/>
  <c r="H18" i="88"/>
  <c r="G26" i="77"/>
  <c r="J20" i="82"/>
  <c r="H17" i="90"/>
  <c r="G46" i="77"/>
  <c r="I21" i="82"/>
  <c r="H29" i="80"/>
  <c r="G50" i="85"/>
  <c r="H17" i="89"/>
  <c r="I51" i="89"/>
  <c r="H34" i="84"/>
  <c r="G25" i="77"/>
  <c r="G53" i="81"/>
  <c r="H38" i="77"/>
  <c r="H43" i="82"/>
  <c r="H41" i="80"/>
  <c r="H29" i="85"/>
  <c r="G23" i="90"/>
  <c r="H45" i="89"/>
  <c r="H22" i="84"/>
  <c r="G48" i="82"/>
  <c r="G41" i="77"/>
  <c r="H52" i="80"/>
  <c r="H41" i="90"/>
  <c r="H45" i="84"/>
  <c r="J17" i="95"/>
  <c r="G18" i="88"/>
  <c r="G30" i="90"/>
  <c r="H45" i="80"/>
  <c r="G34" i="86"/>
  <c r="H54" i="80"/>
  <c r="G51" i="90"/>
  <c r="G43" i="88"/>
  <c r="H23" i="90"/>
  <c r="G20" i="85"/>
  <c r="G44" i="85"/>
  <c r="H42" i="86"/>
  <c r="H26" i="81"/>
  <c r="H51" i="89"/>
  <c r="G20" i="89"/>
  <c r="H20" i="85"/>
  <c r="G39" i="86"/>
  <c r="H41" i="81"/>
  <c r="G45" i="86"/>
  <c r="H21" i="80"/>
  <c r="I18" i="89"/>
  <c r="I50" i="89"/>
  <c r="H44" i="89"/>
  <c r="G53" i="88"/>
  <c r="G46" i="84"/>
  <c r="H43" i="86"/>
  <c r="G33" i="80"/>
  <c r="F9" i="108"/>
  <c r="G53" i="86"/>
  <c r="H31" i="82"/>
  <c r="H31" i="86"/>
  <c r="G21" i="108"/>
  <c r="G43" i="85"/>
  <c r="I51" i="96"/>
  <c r="G45" i="96"/>
  <c r="I50" i="96"/>
  <c r="J54" i="96"/>
  <c r="I27" i="96"/>
  <c r="H17" i="96"/>
  <c r="G51" i="96"/>
  <c r="H18" i="96"/>
  <c r="J49" i="96"/>
  <c r="J26" i="96"/>
  <c r="G42" i="96"/>
  <c r="G21" i="96"/>
  <c r="I18" i="96"/>
  <c r="H19" i="96"/>
  <c r="H53" i="86"/>
  <c r="J21" i="82"/>
  <c r="H22" i="80"/>
  <c r="G33" i="85"/>
  <c r="G43" i="90"/>
  <c r="I24" i="89"/>
  <c r="H24" i="84"/>
  <c r="H33" i="80"/>
  <c r="H33" i="81"/>
  <c r="G41" i="86"/>
  <c r="G17" i="82"/>
  <c r="G32" i="80"/>
  <c r="B8" i="85"/>
  <c r="G25" i="89"/>
  <c r="I25" i="89"/>
  <c r="H41" i="84"/>
  <c r="G26" i="90"/>
  <c r="H41" i="77"/>
  <c r="F12" i="108"/>
  <c r="G21" i="82"/>
  <c r="G31" i="81"/>
  <c r="G35" i="95"/>
  <c r="G44" i="89"/>
  <c r="H19" i="88"/>
  <c r="H47" i="81"/>
  <c r="G26" i="88"/>
  <c r="H42" i="77"/>
  <c r="J29" i="82"/>
  <c r="G21" i="89"/>
  <c r="G52" i="77"/>
  <c r="H20" i="82"/>
  <c r="H17" i="81"/>
  <c r="G33" i="120"/>
  <c r="I53" i="89"/>
  <c r="H47" i="88"/>
  <c r="H39" i="86"/>
  <c r="F15" i="108"/>
  <c r="G44" i="81"/>
  <c r="G47" i="86"/>
  <c r="J31" i="82"/>
  <c r="G30" i="80"/>
  <c r="H34" i="85"/>
  <c r="G38" i="90"/>
  <c r="H38" i="89"/>
  <c r="G45" i="84"/>
  <c r="G31" i="82"/>
  <c r="G48" i="86"/>
  <c r="G18" i="80"/>
  <c r="J36" i="89"/>
  <c r="G48" i="88"/>
  <c r="H34" i="90"/>
  <c r="H49" i="77"/>
  <c r="I37" i="89"/>
  <c r="G39" i="85"/>
  <c r="H53" i="77"/>
  <c r="G21" i="80"/>
  <c r="I21" i="89"/>
  <c r="G32" i="84"/>
  <c r="G45" i="89"/>
  <c r="I28" i="89"/>
  <c r="H43" i="90"/>
  <c r="H54" i="77"/>
  <c r="H51" i="81"/>
  <c r="I34" i="89"/>
  <c r="G40" i="84"/>
  <c r="G20" i="90"/>
  <c r="H39" i="82"/>
  <c r="G29" i="90"/>
  <c r="G22" i="77"/>
  <c r="G45" i="81"/>
  <c r="H48" i="89"/>
  <c r="G34" i="89"/>
  <c r="G21" i="84"/>
  <c r="H37" i="86"/>
  <c r="H50" i="86"/>
  <c r="G43" i="86"/>
  <c r="H39" i="80"/>
  <c r="G52" i="89"/>
  <c r="G25" i="82"/>
  <c r="G47" i="81"/>
  <c r="I24" i="82"/>
  <c r="H25" i="80"/>
  <c r="J18" i="89"/>
  <c r="I23" i="96"/>
  <c r="I30" i="96"/>
  <c r="H26" i="96"/>
  <c r="H37" i="96"/>
  <c r="J39" i="96"/>
  <c r="I41" i="96"/>
  <c r="H20" i="96"/>
  <c r="H44" i="96"/>
  <c r="H32" i="96"/>
  <c r="G22" i="96"/>
  <c r="H31" i="96"/>
  <c r="H45" i="96"/>
  <c r="I33" i="96"/>
  <c r="G47" i="96"/>
  <c r="G21" i="86"/>
  <c r="G37" i="82"/>
  <c r="G37" i="80"/>
  <c r="H44" i="85"/>
  <c r="H28" i="90"/>
  <c r="G36" i="89"/>
  <c r="H44" i="84"/>
  <c r="G19" i="81"/>
  <c r="J43" i="95"/>
  <c r="G30" i="77"/>
  <c r="I54" i="82"/>
  <c r="H43" i="81"/>
  <c r="G30" i="120"/>
  <c r="H31" i="89"/>
  <c r="H20" i="88"/>
  <c r="H34" i="82"/>
  <c r="H35" i="89"/>
  <c r="G20" i="77"/>
  <c r="E16" i="108"/>
  <c r="H28" i="82"/>
  <c r="G43" i="81"/>
  <c r="H35" i="95"/>
  <c r="I20" i="89"/>
  <c r="G19" i="88"/>
  <c r="H25" i="81"/>
  <c r="G29" i="84"/>
  <c r="G29" i="77"/>
  <c r="H47" i="85"/>
  <c r="H47" i="86"/>
  <c r="H52" i="86"/>
  <c r="H38" i="82"/>
  <c r="H49" i="81"/>
  <c r="G27" i="120"/>
  <c r="I46" i="89"/>
  <c r="G44" i="88"/>
  <c r="G27" i="77"/>
  <c r="E14" i="108"/>
  <c r="G23" i="85"/>
  <c r="H54" i="86"/>
  <c r="H35" i="82"/>
  <c r="H48" i="80"/>
  <c r="H35" i="85"/>
  <c r="H35" i="90"/>
  <c r="I36" i="89"/>
  <c r="H53" i="84"/>
  <c r="G41" i="80"/>
  <c r="H44" i="77"/>
  <c r="H27" i="80"/>
  <c r="I42" i="89"/>
  <c r="H52" i="84"/>
  <c r="H36" i="90"/>
  <c r="G23" i="82"/>
  <c r="H29" i="88"/>
  <c r="J35" i="95"/>
  <c r="G51" i="86"/>
  <c r="G36" i="80"/>
  <c r="H39" i="89"/>
  <c r="G33" i="86"/>
  <c r="H39" i="84"/>
  <c r="G35" i="88"/>
  <c r="J38" i="89"/>
  <c r="G25" i="86"/>
  <c r="H45" i="81"/>
  <c r="J39" i="89"/>
  <c r="G40" i="77"/>
  <c r="H22" i="89"/>
  <c r="G37" i="85"/>
  <c r="H25" i="89"/>
  <c r="H18" i="77"/>
  <c r="H48" i="81"/>
  <c r="J17" i="89"/>
  <c r="G49" i="84"/>
  <c r="G52" i="86"/>
  <c r="J17" i="82"/>
  <c r="H50" i="80"/>
  <c r="H25" i="86"/>
  <c r="G46" i="81"/>
  <c r="G52" i="88"/>
  <c r="H30" i="95"/>
  <c r="G49" i="85"/>
  <c r="G20" i="82"/>
  <c r="G32" i="120"/>
  <c r="H25" i="84"/>
  <c r="I47" i="96"/>
  <c r="G23" i="96"/>
  <c r="J34" i="96"/>
  <c r="H28" i="96"/>
  <c r="H30" i="96"/>
  <c r="I34" i="96"/>
  <c r="I32" i="96"/>
  <c r="J43" i="96"/>
  <c r="G37" i="96"/>
  <c r="G34" i="96"/>
  <c r="H21" i="96"/>
  <c r="H50" i="96"/>
  <c r="J21" i="96"/>
  <c r="J36" i="96"/>
  <c r="G36" i="86"/>
  <c r="I29" i="82"/>
  <c r="H40" i="80"/>
  <c r="G45" i="85"/>
  <c r="H46" i="90"/>
  <c r="H26" i="89"/>
  <c r="H37" i="84"/>
  <c r="G35" i="81"/>
  <c r="H40" i="90"/>
  <c r="H46" i="77"/>
  <c r="G42" i="82"/>
  <c r="G38" i="81"/>
  <c r="G26" i="120"/>
  <c r="G40" i="89"/>
  <c r="H25" i="88"/>
  <c r="G29" i="80"/>
  <c r="H33" i="89"/>
  <c r="G24" i="86"/>
  <c r="E20" i="108"/>
  <c r="H42" i="80"/>
  <c r="G24" i="81"/>
  <c r="H27" i="90"/>
  <c r="I44" i="89"/>
  <c r="H49" i="88"/>
  <c r="G32" i="81"/>
  <c r="H36" i="81"/>
  <c r="G32" i="77"/>
  <c r="H47" i="90"/>
  <c r="G28" i="86"/>
  <c r="F19" i="108"/>
  <c r="I37" i="82"/>
  <c r="G36" i="81"/>
  <c r="I54" i="95"/>
  <c r="J26" i="89"/>
  <c r="H51" i="88"/>
  <c r="B12" i="77"/>
  <c r="G43" i="82"/>
  <c r="H39" i="85"/>
  <c r="H32" i="77"/>
  <c r="J39" i="82"/>
  <c r="H46" i="80"/>
  <c r="B12" i="85"/>
  <c r="H21" i="90"/>
  <c r="I52" i="89"/>
  <c r="G51" i="84"/>
  <c r="G46" i="80"/>
  <c r="G44" i="86"/>
  <c r="H52" i="81"/>
  <c r="G26" i="89"/>
  <c r="H47" i="84"/>
  <c r="J43" i="89"/>
  <c r="G18" i="81"/>
  <c r="G38" i="84"/>
  <c r="G28" i="89"/>
  <c r="H20" i="86"/>
  <c r="H31" i="81"/>
  <c r="G29" i="89"/>
  <c r="I25" i="82"/>
  <c r="H40" i="77"/>
  <c r="G27" i="86"/>
  <c r="H21" i="84"/>
  <c r="H18" i="86"/>
  <c r="G28" i="85"/>
  <c r="H24" i="89"/>
  <c r="G40" i="82"/>
  <c r="G33" i="88"/>
  <c r="G32" i="89"/>
  <c r="G22" i="84"/>
  <c r="G42" i="77"/>
  <c r="H54" i="81"/>
  <c r="I43" i="89"/>
  <c r="H27" i="86"/>
  <c r="I27" i="82"/>
  <c r="H32" i="81"/>
  <c r="G28" i="120"/>
  <c r="G49" i="86"/>
  <c r="G29" i="81"/>
  <c r="G18" i="86"/>
  <c r="G18" i="89"/>
  <c r="H49" i="90"/>
  <c r="H20" i="81"/>
  <c r="I33" i="89"/>
  <c r="F18" i="108"/>
  <c r="J22" i="96"/>
  <c r="G30" i="96"/>
  <c r="H51" i="96"/>
  <c r="H23" i="96"/>
  <c r="G28" i="96"/>
  <c r="G17" i="96"/>
  <c r="J31" i="96"/>
  <c r="H21" i="108" l="1"/>
  <c r="H16" i="108"/>
  <c r="H24" i="108"/>
  <c r="H12" i="108"/>
  <c r="H17" i="108"/>
  <c r="F16" i="73"/>
  <c r="H10" i="108"/>
  <c r="H20" i="108"/>
  <c r="G16" i="73"/>
  <c r="B13" i="85"/>
  <c r="H11" i="108"/>
  <c r="H19" i="108"/>
  <c r="B13" i="77"/>
  <c r="H18" i="108"/>
  <c r="H13" i="108"/>
  <c r="C16" i="73"/>
  <c r="H15" i="108"/>
  <c r="H9" i="108"/>
  <c r="H14" i="108"/>
  <c r="D16" i="73"/>
  <c r="E16" i="73"/>
  <c r="G26" i="73"/>
  <c r="B13" i="97"/>
  <c r="D25" i="127"/>
  <c r="C25" i="127"/>
  <c r="B25" i="127"/>
  <c r="A25" i="127"/>
  <c r="D24" i="127"/>
  <c r="C24" i="127"/>
  <c r="B24" i="127"/>
  <c r="A24" i="127"/>
  <c r="D23" i="127"/>
  <c r="C23" i="127"/>
  <c r="B23" i="127"/>
  <c r="A23" i="127"/>
  <c r="D22" i="127"/>
  <c r="C22" i="127"/>
  <c r="B22" i="127"/>
  <c r="A22" i="127"/>
  <c r="D21" i="127"/>
  <c r="C21" i="127"/>
  <c r="B21" i="127"/>
  <c r="A21" i="127"/>
  <c r="D20" i="127"/>
  <c r="C20" i="127"/>
  <c r="B20" i="127"/>
  <c r="A20" i="127"/>
  <c r="D19" i="127"/>
  <c r="C19" i="127"/>
  <c r="B19" i="127"/>
  <c r="A19" i="127"/>
  <c r="D18" i="127"/>
  <c r="C18" i="127"/>
  <c r="B18" i="127"/>
  <c r="A18" i="127"/>
  <c r="D17" i="127"/>
  <c r="C17" i="127"/>
  <c r="B17" i="127"/>
  <c r="A17" i="127"/>
  <c r="D25" i="126"/>
  <c r="C25" i="126"/>
  <c r="B25" i="126"/>
  <c r="A25" i="126"/>
  <c r="D24" i="126"/>
  <c r="C24" i="126"/>
  <c r="B24" i="126"/>
  <c r="A24" i="126"/>
  <c r="D23" i="126"/>
  <c r="C23" i="126"/>
  <c r="B23" i="126"/>
  <c r="A23" i="126"/>
  <c r="D22" i="126"/>
  <c r="C22" i="126"/>
  <c r="B22" i="126"/>
  <c r="A22" i="126"/>
  <c r="D21" i="126"/>
  <c r="C21" i="126"/>
  <c r="B21" i="126"/>
  <c r="A21" i="126"/>
  <c r="D20" i="126"/>
  <c r="C20" i="126"/>
  <c r="B20" i="126"/>
  <c r="A20" i="126"/>
  <c r="D19" i="126"/>
  <c r="C19" i="126"/>
  <c r="B19" i="126"/>
  <c r="A19" i="126"/>
  <c r="D18" i="126"/>
  <c r="C18" i="126"/>
  <c r="B18" i="126"/>
  <c r="A18" i="126"/>
  <c r="D17" i="126"/>
  <c r="C17" i="126"/>
  <c r="B17" i="126"/>
  <c r="A17" i="126"/>
  <c r="D25" i="125"/>
  <c r="C25" i="125"/>
  <c r="B25" i="125"/>
  <c r="A25" i="125"/>
  <c r="D24" i="125"/>
  <c r="C24" i="125"/>
  <c r="B24" i="125"/>
  <c r="A24" i="125"/>
  <c r="D23" i="125"/>
  <c r="C23" i="125"/>
  <c r="B23" i="125"/>
  <c r="A23" i="125"/>
  <c r="D22" i="125"/>
  <c r="C22" i="125"/>
  <c r="B22" i="125"/>
  <c r="A22" i="125"/>
  <c r="D21" i="125"/>
  <c r="C21" i="125"/>
  <c r="B21" i="125"/>
  <c r="A21" i="125"/>
  <c r="D20" i="125"/>
  <c r="C20" i="125"/>
  <c r="B20" i="125"/>
  <c r="A20" i="125"/>
  <c r="D19" i="125"/>
  <c r="C19" i="125"/>
  <c r="B19" i="125"/>
  <c r="A19" i="125"/>
  <c r="D18" i="125"/>
  <c r="C18" i="125"/>
  <c r="B18" i="125"/>
  <c r="A18" i="125"/>
  <c r="D17" i="125"/>
  <c r="C17" i="125"/>
  <c r="B17" i="125"/>
  <c r="A17" i="125"/>
  <c r="D24" i="124"/>
  <c r="C24" i="124"/>
  <c r="B24" i="124"/>
  <c r="A24" i="124"/>
  <c r="D23" i="124"/>
  <c r="C23" i="124"/>
  <c r="B23" i="124"/>
  <c r="A23" i="124"/>
  <c r="D22" i="124"/>
  <c r="C22" i="124"/>
  <c r="B22" i="124"/>
  <c r="A22" i="124"/>
  <c r="D21" i="124"/>
  <c r="C21" i="124"/>
  <c r="B21" i="124"/>
  <c r="A21" i="124"/>
  <c r="D20" i="124"/>
  <c r="C20" i="124"/>
  <c r="B20" i="124"/>
  <c r="A20" i="124"/>
  <c r="D19" i="124"/>
  <c r="C19" i="124"/>
  <c r="B19" i="124"/>
  <c r="A19" i="124"/>
  <c r="D18" i="124"/>
  <c r="C18" i="124"/>
  <c r="B18" i="124"/>
  <c r="A18" i="124"/>
  <c r="D17" i="124"/>
  <c r="C17" i="124"/>
  <c r="B17" i="124"/>
  <c r="A17" i="124"/>
  <c r="D25" i="123"/>
  <c r="C25" i="123"/>
  <c r="B25" i="123"/>
  <c r="A25" i="123"/>
  <c r="D24" i="123"/>
  <c r="C24" i="123"/>
  <c r="B24" i="123"/>
  <c r="A24" i="123"/>
  <c r="D23" i="123"/>
  <c r="C23" i="123"/>
  <c r="B23" i="123"/>
  <c r="A23" i="123"/>
  <c r="D22" i="123"/>
  <c r="C22" i="123"/>
  <c r="B22" i="123"/>
  <c r="A22" i="123"/>
  <c r="D21" i="123"/>
  <c r="C21" i="123"/>
  <c r="B21" i="123"/>
  <c r="A21" i="123"/>
  <c r="D20" i="123"/>
  <c r="C20" i="123"/>
  <c r="B20" i="123"/>
  <c r="A20" i="123"/>
  <c r="D19" i="123"/>
  <c r="C19" i="123"/>
  <c r="B19" i="123"/>
  <c r="A19" i="123"/>
  <c r="D18" i="123"/>
  <c r="C18" i="123"/>
  <c r="B18" i="123"/>
  <c r="A18" i="123"/>
  <c r="D17" i="123"/>
  <c r="C17" i="123"/>
  <c r="B17" i="123"/>
  <c r="A17" i="123"/>
  <c r="D25" i="122"/>
  <c r="C25" i="122"/>
  <c r="B25" i="122"/>
  <c r="A25" i="122"/>
  <c r="D24" i="122"/>
  <c r="C24" i="122"/>
  <c r="B24" i="122"/>
  <c r="A24" i="122"/>
  <c r="D23" i="122"/>
  <c r="C23" i="122"/>
  <c r="B23" i="122"/>
  <c r="A23" i="122"/>
  <c r="D22" i="122"/>
  <c r="C22" i="122"/>
  <c r="B22" i="122"/>
  <c r="A22" i="122"/>
  <c r="D21" i="122"/>
  <c r="C21" i="122"/>
  <c r="B21" i="122"/>
  <c r="A21" i="122"/>
  <c r="D20" i="122"/>
  <c r="C20" i="122"/>
  <c r="B20" i="122"/>
  <c r="A20" i="122"/>
  <c r="D19" i="122"/>
  <c r="C19" i="122"/>
  <c r="B19" i="122"/>
  <c r="A19" i="122"/>
  <c r="D18" i="122"/>
  <c r="C18" i="122"/>
  <c r="B18" i="122"/>
  <c r="A18" i="122"/>
  <c r="D17" i="122"/>
  <c r="C17" i="122"/>
  <c r="B17" i="122"/>
  <c r="A17" i="122"/>
  <c r="D25" i="121"/>
  <c r="C25" i="121"/>
  <c r="B25" i="121"/>
  <c r="A25" i="121"/>
  <c r="D24" i="121"/>
  <c r="C24" i="121"/>
  <c r="B24" i="121"/>
  <c r="A24" i="121"/>
  <c r="D23" i="121"/>
  <c r="C23" i="121"/>
  <c r="B23" i="121"/>
  <c r="A23" i="121"/>
  <c r="D22" i="121"/>
  <c r="C22" i="121"/>
  <c r="B22" i="121"/>
  <c r="A22" i="121"/>
  <c r="D21" i="121"/>
  <c r="C21" i="121"/>
  <c r="B21" i="121"/>
  <c r="A21" i="121"/>
  <c r="D20" i="121"/>
  <c r="C20" i="121"/>
  <c r="B20" i="121"/>
  <c r="A20" i="121"/>
  <c r="D19" i="121"/>
  <c r="C19" i="121"/>
  <c r="B19" i="121"/>
  <c r="A19" i="121"/>
  <c r="D18" i="121"/>
  <c r="C18" i="121"/>
  <c r="B18" i="121"/>
  <c r="A18" i="121"/>
  <c r="D17" i="121"/>
  <c r="C17" i="121"/>
  <c r="B17" i="121"/>
  <c r="A17" i="121"/>
  <c r="B25" i="124"/>
  <c r="H18" i="85"/>
  <c r="D25" i="124"/>
  <c r="C25" i="124"/>
  <c r="B12" i="120" l="1"/>
  <c r="F24" i="73" s="1"/>
  <c r="B11" i="120"/>
  <c r="E24" i="73" s="1"/>
  <c r="B10" i="120"/>
  <c r="D24" i="73" s="1"/>
  <c r="B9" i="120"/>
  <c r="C24" i="73" s="1"/>
  <c r="B8" i="120"/>
  <c r="B14" i="120" l="1"/>
  <c r="B15" i="91"/>
  <c r="B8" i="98"/>
  <c r="B9" i="98"/>
  <c r="B10" i="98"/>
  <c r="B11" i="98"/>
  <c r="B12" i="98"/>
  <c r="B13" i="98"/>
  <c r="B14" i="98"/>
  <c r="B13" i="94"/>
  <c r="B12" i="94"/>
  <c r="F25" i="73" s="1"/>
  <c r="B11" i="94"/>
  <c r="E25" i="73" s="1"/>
  <c r="B10" i="94"/>
  <c r="D25" i="73" s="1"/>
  <c r="B9" i="94"/>
  <c r="C25" i="73" s="1"/>
  <c r="B16" i="87"/>
  <c r="B15" i="87"/>
  <c r="B14" i="87"/>
  <c r="G25" i="73" l="1"/>
  <c r="B14" i="94"/>
  <c r="F38" i="117"/>
  <c r="E38" i="117"/>
  <c r="D38" i="117"/>
  <c r="F37" i="117"/>
  <c r="E37" i="117"/>
  <c r="D37" i="117"/>
  <c r="F36" i="117"/>
  <c r="E36" i="117"/>
  <c r="D36" i="117"/>
  <c r="F35" i="117"/>
  <c r="E35" i="117"/>
  <c r="D35" i="117"/>
  <c r="F34" i="117"/>
  <c r="E34" i="117"/>
  <c r="D34" i="117"/>
  <c r="F33" i="117"/>
  <c r="E33" i="117"/>
  <c r="D33" i="117"/>
  <c r="F32" i="117"/>
  <c r="E32" i="117"/>
  <c r="D32" i="117"/>
  <c r="F31" i="117"/>
  <c r="E31" i="117"/>
  <c r="D31" i="117"/>
  <c r="F21" i="117"/>
  <c r="J19" i="115" l="1"/>
  <c r="I19" i="115"/>
  <c r="H19" i="115"/>
  <c r="G19" i="115"/>
  <c r="F19" i="115"/>
  <c r="E19" i="115"/>
  <c r="D19" i="115"/>
  <c r="C19" i="115"/>
  <c r="D26" i="117" l="1"/>
  <c r="J12" i="115"/>
  <c r="F20" i="117" l="1"/>
  <c r="J28" i="115"/>
  <c r="B15" i="98"/>
  <c r="B15" i="93"/>
  <c r="F15" i="117" s="1"/>
  <c r="B14" i="93"/>
  <c r="E15" i="117" s="1"/>
  <c r="D14" i="108"/>
  <c r="D19" i="108"/>
  <c r="D24" i="108"/>
  <c r="D21" i="108"/>
  <c r="D18" i="108"/>
  <c r="D9" i="108"/>
  <c r="D17" i="108"/>
  <c r="D13" i="108"/>
  <c r="D12" i="108"/>
  <c r="D20" i="108"/>
  <c r="D10" i="108"/>
  <c r="D11" i="108"/>
  <c r="D16" i="108"/>
  <c r="D15" i="108"/>
  <c r="F14" i="117" l="1"/>
  <c r="F9" i="118"/>
  <c r="F9" i="117"/>
  <c r="J20" i="115"/>
  <c r="F15" i="118"/>
  <c r="F19" i="117"/>
  <c r="J15" i="115"/>
  <c r="F17" i="118"/>
  <c r="F16" i="117"/>
  <c r="J16" i="115"/>
  <c r="F28" i="117"/>
  <c r="J23" i="115"/>
  <c r="F17" i="117"/>
  <c r="J29" i="115"/>
  <c r="E16" i="118"/>
  <c r="D25" i="117"/>
  <c r="I13" i="115"/>
  <c r="E17" i="118"/>
  <c r="E16" i="117"/>
  <c r="I16" i="115"/>
  <c r="E10" i="118"/>
  <c r="E10" i="117"/>
  <c r="I21" i="115"/>
  <c r="E14" i="118"/>
  <c r="E24" i="117"/>
  <c r="E20" i="117"/>
  <c r="I28" i="115"/>
  <c r="E29" i="117"/>
  <c r="I24" i="115"/>
  <c r="E8" i="118"/>
  <c r="E8" i="117"/>
  <c r="E13" i="118"/>
  <c r="D11" i="117"/>
  <c r="I10" i="115"/>
  <c r="E9" i="118"/>
  <c r="E9" i="117"/>
  <c r="I20" i="115"/>
  <c r="E15" i="118"/>
  <c r="E19" i="117"/>
  <c r="I15" i="115"/>
  <c r="E28" i="117"/>
  <c r="I23" i="115"/>
  <c r="F10" i="118"/>
  <c r="F10" i="117"/>
  <c r="J21" i="115"/>
  <c r="F14" i="118"/>
  <c r="F24" i="117"/>
  <c r="F29" i="117"/>
  <c r="J24" i="115"/>
  <c r="F12" i="118"/>
  <c r="F12" i="117"/>
  <c r="J27" i="115"/>
  <c r="E17" i="117"/>
  <c r="I29" i="115"/>
  <c r="E12" i="118"/>
  <c r="E12" i="117"/>
  <c r="I27" i="115"/>
  <c r="B17" i="87"/>
  <c r="C26" i="117"/>
  <c r="I12" i="115"/>
  <c r="E14" i="117"/>
  <c r="E30" i="117"/>
  <c r="I25" i="115"/>
  <c r="F30" i="117"/>
  <c r="J25" i="115"/>
  <c r="E22" i="117"/>
  <c r="I17" i="115"/>
  <c r="F8" i="118"/>
  <c r="F8" i="117"/>
  <c r="F13" i="118"/>
  <c r="E11" i="117"/>
  <c r="J10" i="115"/>
  <c r="F16" i="118"/>
  <c r="E25" i="117"/>
  <c r="J13" i="115"/>
  <c r="F22" i="117"/>
  <c r="J17" i="115"/>
  <c r="B16" i="93"/>
  <c r="B16" i="98"/>
  <c r="G10" i="118" l="1"/>
  <c r="G9" i="118"/>
  <c r="G8" i="118"/>
  <c r="G16" i="118"/>
  <c r="G14" i="118"/>
  <c r="G12" i="118"/>
  <c r="G15" i="118"/>
  <c r="G17" i="118"/>
  <c r="G13" i="118"/>
  <c r="E11" i="118" l="1"/>
  <c r="E13" i="117"/>
  <c r="I22" i="115"/>
  <c r="F11" i="118"/>
  <c r="F13" i="117"/>
  <c r="J22" i="115"/>
  <c r="G11" i="118" l="1"/>
  <c r="G29" i="115" l="1"/>
  <c r="F29" i="115"/>
  <c r="E29" i="115"/>
  <c r="D29" i="115"/>
  <c r="C29" i="115"/>
  <c r="B12" i="96"/>
  <c r="B11" i="96"/>
  <c r="B10" i="96"/>
  <c r="B9" i="96"/>
  <c r="B8" i="96"/>
  <c r="D25" i="115"/>
  <c r="E25" i="115"/>
  <c r="F25" i="115"/>
  <c r="G25" i="115"/>
  <c r="B13" i="96" l="1"/>
  <c r="D23" i="115"/>
  <c r="D22" i="73"/>
  <c r="F23" i="115"/>
  <c r="F22" i="73"/>
  <c r="C23" i="115"/>
  <c r="C22" i="73"/>
  <c r="E23" i="115"/>
  <c r="E22" i="73"/>
  <c r="G23" i="115"/>
  <c r="G22" i="73"/>
  <c r="C17" i="115"/>
  <c r="D17" i="115"/>
  <c r="E17" i="115"/>
  <c r="F17" i="115"/>
  <c r="G17" i="115"/>
  <c r="D30" i="117"/>
  <c r="H25" i="115"/>
  <c r="D22" i="117"/>
  <c r="H17" i="115"/>
  <c r="D28" i="117"/>
  <c r="H23" i="115"/>
  <c r="D17" i="117"/>
  <c r="H29" i="115"/>
  <c r="B12" i="95"/>
  <c r="B13" i="95" s="1"/>
  <c r="B11" i="95"/>
  <c r="B10" i="95"/>
  <c r="B9" i="95"/>
  <c r="B8" i="95"/>
  <c r="C21" i="108"/>
  <c r="C24" i="108"/>
  <c r="C12" i="108"/>
  <c r="C13" i="108"/>
  <c r="C17" i="108"/>
  <c r="C15" i="108"/>
  <c r="C14" i="108"/>
  <c r="C9" i="108"/>
  <c r="C11" i="108"/>
  <c r="C18" i="108"/>
  <c r="C10" i="108"/>
  <c r="C16" i="108"/>
  <c r="C20" i="108"/>
  <c r="C19" i="108"/>
  <c r="I14" i="108" l="1"/>
  <c r="I12" i="108"/>
  <c r="I10" i="108"/>
  <c r="I17" i="108"/>
  <c r="I18" i="108"/>
  <c r="I16" i="108"/>
  <c r="I11" i="108"/>
  <c r="I15" i="108"/>
  <c r="I13" i="108"/>
  <c r="I21" i="108"/>
  <c r="I24" i="108"/>
  <c r="I9" i="108"/>
  <c r="I20" i="108"/>
  <c r="I19" i="108"/>
  <c r="C24" i="115"/>
  <c r="C23" i="73"/>
  <c r="E24" i="115"/>
  <c r="E23" i="73"/>
  <c r="G24" i="115"/>
  <c r="G23" i="73"/>
  <c r="D24" i="115"/>
  <c r="D23" i="73"/>
  <c r="F24" i="115"/>
  <c r="F23" i="73"/>
  <c r="D29" i="117"/>
  <c r="H24" i="115"/>
  <c r="B8" i="94"/>
  <c r="B13" i="93" l="1"/>
  <c r="B12" i="93"/>
  <c r="B11" i="93"/>
  <c r="B10" i="93"/>
  <c r="B9" i="93"/>
  <c r="B8" i="93"/>
  <c r="B12" i="92"/>
  <c r="B11" i="92"/>
  <c r="F21" i="73" s="1"/>
  <c r="B10" i="92"/>
  <c r="E21" i="73" s="1"/>
  <c r="B9" i="92"/>
  <c r="D21" i="73" s="1"/>
  <c r="B8" i="92"/>
  <c r="C21" i="73" s="1"/>
  <c r="G21" i="73" l="1"/>
  <c r="B13" i="92"/>
  <c r="D14" i="117"/>
  <c r="D15" i="117"/>
  <c r="B14" i="91"/>
  <c r="E21" i="117" s="1"/>
  <c r="B13" i="91"/>
  <c r="D21" i="117" s="1"/>
  <c r="B12" i="91"/>
  <c r="B11" i="91"/>
  <c r="B10" i="91"/>
  <c r="B9" i="91"/>
  <c r="B8" i="91"/>
  <c r="B12" i="90"/>
  <c r="B11" i="90"/>
  <c r="F28" i="115" s="1"/>
  <c r="B10" i="90"/>
  <c r="E28" i="115" s="1"/>
  <c r="B9" i="90"/>
  <c r="D28" i="115" s="1"/>
  <c r="B8" i="90"/>
  <c r="C28" i="115" s="1"/>
  <c r="B12" i="89"/>
  <c r="B11" i="89"/>
  <c r="F16" i="115" s="1"/>
  <c r="B10" i="89"/>
  <c r="E16" i="115" s="1"/>
  <c r="B9" i="89"/>
  <c r="B8" i="89"/>
  <c r="G28" i="115" l="1"/>
  <c r="B13" i="90"/>
  <c r="G16" i="115"/>
  <c r="B13" i="89"/>
  <c r="D16" i="117"/>
  <c r="H16" i="115"/>
  <c r="D20" i="117"/>
  <c r="H28" i="115"/>
  <c r="C17" i="118"/>
  <c r="D16" i="115"/>
  <c r="B17" i="118"/>
  <c r="C16" i="115"/>
  <c r="D19" i="73"/>
  <c r="F19" i="73"/>
  <c r="C20" i="73"/>
  <c r="E20" i="73"/>
  <c r="G20" i="73"/>
  <c r="C19" i="73"/>
  <c r="E19" i="73"/>
  <c r="G19" i="73"/>
  <c r="D20" i="73"/>
  <c r="F20" i="73"/>
  <c r="B12" i="88"/>
  <c r="B11" i="88"/>
  <c r="F13" i="115" s="1"/>
  <c r="B10" i="88"/>
  <c r="E13" i="115" s="1"/>
  <c r="B9" i="88"/>
  <c r="B8" i="88"/>
  <c r="G13" i="115" l="1"/>
  <c r="B13" i="88"/>
  <c r="D17" i="118"/>
  <c r="C25" i="117"/>
  <c r="H13" i="115"/>
  <c r="B16" i="118"/>
  <c r="C13" i="115"/>
  <c r="C16" i="118"/>
  <c r="D13" i="115"/>
  <c r="C18" i="73"/>
  <c r="E18" i="73"/>
  <c r="G18" i="73"/>
  <c r="D18" i="73"/>
  <c r="F18" i="73"/>
  <c r="D16" i="118" l="1"/>
  <c r="B11" i="87"/>
  <c r="B13" i="87"/>
  <c r="B12" i="87"/>
  <c r="G12" i="115" s="1"/>
  <c r="B26" i="117" l="1"/>
  <c r="H12" i="115"/>
  <c r="B12" i="86"/>
  <c r="B11" i="86"/>
  <c r="F17" i="73" s="1"/>
  <c r="B10" i="86"/>
  <c r="E17" i="73" s="1"/>
  <c r="B9" i="86"/>
  <c r="B8" i="86"/>
  <c r="G15" i="115"/>
  <c r="E15" i="115"/>
  <c r="B12" i="84"/>
  <c r="B11" i="84"/>
  <c r="F10" i="115" s="1"/>
  <c r="B10" i="84"/>
  <c r="E10" i="115" s="1"/>
  <c r="B9" i="84"/>
  <c r="B8" i="84"/>
  <c r="B12" i="83"/>
  <c r="B11" i="83"/>
  <c r="F27" i="115" s="1"/>
  <c r="B10" i="83"/>
  <c r="E27" i="115" s="1"/>
  <c r="B9" i="83"/>
  <c r="B8" i="83"/>
  <c r="B12" i="82"/>
  <c r="B11" i="82"/>
  <c r="F22" i="115" s="1"/>
  <c r="B10" i="82"/>
  <c r="E22" i="115" s="1"/>
  <c r="B9" i="82"/>
  <c r="B8" i="82"/>
  <c r="B12" i="81"/>
  <c r="B11" i="81"/>
  <c r="B10" i="81"/>
  <c r="B9" i="81"/>
  <c r="B8" i="81"/>
  <c r="G27" i="115" l="1"/>
  <c r="B13" i="83"/>
  <c r="G17" i="73"/>
  <c r="B13" i="86"/>
  <c r="G10" i="115"/>
  <c r="B13" i="84"/>
  <c r="G22" i="115"/>
  <c r="B13" i="82"/>
  <c r="B13" i="81"/>
  <c r="E21" i="115"/>
  <c r="G21" i="115"/>
  <c r="F21" i="115"/>
  <c r="F15" i="115"/>
  <c r="B14" i="118"/>
  <c r="C17" i="73"/>
  <c r="C14" i="118"/>
  <c r="D17" i="73"/>
  <c r="D24" i="117"/>
  <c r="C10" i="118"/>
  <c r="D21" i="115"/>
  <c r="B13" i="118"/>
  <c r="C10" i="115"/>
  <c r="D13" i="117"/>
  <c r="H22" i="115"/>
  <c r="C13" i="118"/>
  <c r="D10" i="115"/>
  <c r="B12" i="118"/>
  <c r="C27" i="115"/>
  <c r="C15" i="118"/>
  <c r="D15" i="115"/>
  <c r="D10" i="117"/>
  <c r="H21" i="115"/>
  <c r="C12" i="118"/>
  <c r="D27" i="115"/>
  <c r="D19" i="117"/>
  <c r="H15" i="115"/>
  <c r="B11" i="118"/>
  <c r="C22" i="115"/>
  <c r="D12" i="117"/>
  <c r="H27" i="115"/>
  <c r="C11" i="118"/>
  <c r="D22" i="115"/>
  <c r="C11" i="117"/>
  <c r="H10" i="115"/>
  <c r="B10" i="118"/>
  <c r="C21" i="115"/>
  <c r="B15" i="118"/>
  <c r="C15" i="115"/>
  <c r="D12" i="73"/>
  <c r="F12" i="73"/>
  <c r="C13" i="73"/>
  <c r="E13" i="73"/>
  <c r="G13" i="73"/>
  <c r="D14" i="73"/>
  <c r="F14" i="73"/>
  <c r="C15" i="73"/>
  <c r="E15" i="73"/>
  <c r="G15" i="73"/>
  <c r="C12" i="73"/>
  <c r="E12" i="73"/>
  <c r="G12" i="73"/>
  <c r="D13" i="73"/>
  <c r="F13" i="73"/>
  <c r="C14" i="73"/>
  <c r="E14" i="73"/>
  <c r="G14" i="73"/>
  <c r="D15" i="73"/>
  <c r="F15" i="73"/>
  <c r="D14" i="118" l="1"/>
  <c r="D13" i="118"/>
  <c r="D12" i="118"/>
  <c r="D11" i="118"/>
  <c r="D15" i="118"/>
  <c r="D10" i="118"/>
  <c r="B12" i="80"/>
  <c r="B11" i="80"/>
  <c r="F20" i="115" s="1"/>
  <c r="B10" i="80"/>
  <c r="E20" i="115" s="1"/>
  <c r="B9" i="80"/>
  <c r="B8" i="80"/>
  <c r="D8" i="117"/>
  <c r="C8" i="118"/>
  <c r="B8" i="118"/>
  <c r="G20" i="115" l="1"/>
  <c r="B13" i="80"/>
  <c r="B9" i="118"/>
  <c r="C20" i="115"/>
  <c r="C9" i="118"/>
  <c r="D20" i="115"/>
  <c r="D8" i="118"/>
  <c r="D9" i="117"/>
  <c r="H20" i="115"/>
  <c r="C10" i="73"/>
  <c r="E10" i="73"/>
  <c r="G10" i="73"/>
  <c r="D11" i="73"/>
  <c r="F11" i="73"/>
  <c r="D10" i="73"/>
  <c r="F10" i="73"/>
  <c r="C11" i="73"/>
  <c r="E11" i="73"/>
  <c r="G11" i="73"/>
  <c r="D9" i="118" l="1"/>
</calcChain>
</file>

<file path=xl/sharedStrings.xml><?xml version="1.0" encoding="utf-8"?>
<sst xmlns="http://schemas.openxmlformats.org/spreadsheetml/2006/main" count="3064" uniqueCount="352">
  <si>
    <t>Valor</t>
  </si>
  <si>
    <t>Aguascalientes</t>
  </si>
  <si>
    <t>-</t>
  </si>
  <si>
    <t>Baja California</t>
  </si>
  <si>
    <t>Baja California Sur</t>
  </si>
  <si>
    <t>Campeche</t>
  </si>
  <si>
    <t>Chiapas</t>
  </si>
  <si>
    <t>Chihuahua</t>
  </si>
  <si>
    <t>Colima</t>
  </si>
  <si>
    <t>Durango</t>
  </si>
  <si>
    <t>Guanajuato</t>
  </si>
  <si>
    <t>Guerrero</t>
  </si>
  <si>
    <t>Hidalgo</t>
  </si>
  <si>
    <t>Jalisco</t>
  </si>
  <si>
    <t>México</t>
  </si>
  <si>
    <t>Morelos</t>
  </si>
  <si>
    <t>Nayarit</t>
  </si>
  <si>
    <t>Nuevo León</t>
  </si>
  <si>
    <t>Puebla</t>
  </si>
  <si>
    <t>Quintana Roo</t>
  </si>
  <si>
    <t>San Luis Potosí</t>
  </si>
  <si>
    <t>Sinaloa</t>
  </si>
  <si>
    <t>Sonora</t>
  </si>
  <si>
    <t>Tabasco</t>
  </si>
  <si>
    <t>Tamaulipas</t>
  </si>
  <si>
    <t>Tlaxcala</t>
  </si>
  <si>
    <t>Yucatán</t>
  </si>
  <si>
    <t>Zacatecas</t>
  </si>
  <si>
    <t>Oaxaca</t>
  </si>
  <si>
    <t>Querétaro de Arteaga</t>
  </si>
  <si>
    <t>Michoacán de Ocampo</t>
  </si>
  <si>
    <t>Coahuila de Zaragoza</t>
  </si>
  <si>
    <t>Ciudad de México</t>
  </si>
  <si>
    <t>No.</t>
  </si>
  <si>
    <t>INDICADOR</t>
  </si>
  <si>
    <t>Alumnos por Docente</t>
  </si>
  <si>
    <t>Personas Capacitadas</t>
  </si>
  <si>
    <t>Total general</t>
  </si>
  <si>
    <t>Servicios Tecnológicos Proporcionados</t>
  </si>
  <si>
    <t>Oficinas Nacionales</t>
  </si>
  <si>
    <t>Otros</t>
  </si>
  <si>
    <t>Fuente: Dirección de Acreditación y Operación de Centros de Evaluación</t>
  </si>
  <si>
    <t>Dirección de Evaluación Institucional</t>
  </si>
  <si>
    <t>Fuente: Sistema de Administración Escolar (SAE). Dirección de Servicios Educativos</t>
  </si>
  <si>
    <t>Certificación de competencias</t>
  </si>
  <si>
    <t>Año</t>
  </si>
  <si>
    <t>INDICADORES EDUCATIVOS</t>
  </si>
  <si>
    <t>2017-2018</t>
  </si>
  <si>
    <t>Secretaría de Planeación y Desarrollo Institucional</t>
  </si>
  <si>
    <t>Estatal</t>
  </si>
  <si>
    <t>Federal</t>
  </si>
  <si>
    <t>cve</t>
  </si>
  <si>
    <t>siglema</t>
  </si>
  <si>
    <t>Veracruz llave</t>
  </si>
  <si>
    <t>AGS</t>
  </si>
  <si>
    <t>BC</t>
  </si>
  <si>
    <t>BCS</t>
  </si>
  <si>
    <t>CAMP</t>
  </si>
  <si>
    <t>CHIAP</t>
  </si>
  <si>
    <t>CHIH</t>
  </si>
  <si>
    <t>COAH</t>
  </si>
  <si>
    <t>COL</t>
  </si>
  <si>
    <t>DGO</t>
  </si>
  <si>
    <t>GTO</t>
  </si>
  <si>
    <t>GRO</t>
  </si>
  <si>
    <t>HGO</t>
  </si>
  <si>
    <t>JAL</t>
  </si>
  <si>
    <t>MEX</t>
  </si>
  <si>
    <t>MICH</t>
  </si>
  <si>
    <t>MOR</t>
  </si>
  <si>
    <t>NAY</t>
  </si>
  <si>
    <t>NL</t>
  </si>
  <si>
    <t>PUE</t>
  </si>
  <si>
    <t>QRO</t>
  </si>
  <si>
    <t>QROO</t>
  </si>
  <si>
    <t>SLP</t>
  </si>
  <si>
    <t>SIN</t>
  </si>
  <si>
    <t>SON</t>
  </si>
  <si>
    <t>TAB</t>
  </si>
  <si>
    <t>TAMPS</t>
  </si>
  <si>
    <t>TLAX</t>
  </si>
  <si>
    <t>VER</t>
  </si>
  <si>
    <t>YUC</t>
  </si>
  <si>
    <t>ZAC</t>
  </si>
  <si>
    <t>CDMX</t>
  </si>
  <si>
    <t>OAX</t>
  </si>
  <si>
    <t>periodo</t>
  </si>
  <si>
    <t>2012-2013</t>
  </si>
  <si>
    <t>2013-2014</t>
  </si>
  <si>
    <t>2014-2015</t>
  </si>
  <si>
    <t>2015-2016</t>
  </si>
  <si>
    <t>2016-2017</t>
  </si>
  <si>
    <t>2018-2019</t>
  </si>
  <si>
    <t>egresec</t>
  </si>
  <si>
    <t>entidad</t>
  </si>
  <si>
    <t>sost</t>
  </si>
  <si>
    <t>Absorción de Egresados de Secundaria (%)</t>
  </si>
  <si>
    <t>Aprovechamiento de la capacidad instalada (%)</t>
  </si>
  <si>
    <t>Matrícula total (Alumnos)</t>
  </si>
  <si>
    <t>Cobertura en el grupo de edad de la Educación Media Superior (%)</t>
  </si>
  <si>
    <t>Atención a la demanda (%)</t>
  </si>
  <si>
    <t>talleres</t>
  </si>
  <si>
    <t>laboratorios</t>
  </si>
  <si>
    <t>inscritos</t>
  </si>
  <si>
    <t>matricula</t>
  </si>
  <si>
    <t>reinscritos</t>
  </si>
  <si>
    <t>aulas</t>
  </si>
  <si>
    <t>aspirantes</t>
  </si>
  <si>
    <t>matricula_n</t>
  </si>
  <si>
    <t>egre_n</t>
  </si>
  <si>
    <t>alu_1517</t>
  </si>
  <si>
    <t>pob_1517</t>
  </si>
  <si>
    <t>reprobados</t>
  </si>
  <si>
    <t>titulados</t>
  </si>
  <si>
    <t>egre_tit</t>
  </si>
  <si>
    <t>presuejer</t>
  </si>
  <si>
    <t>matcosto</t>
  </si>
  <si>
    <t>docentes</t>
  </si>
  <si>
    <t>pcedu</t>
  </si>
  <si>
    <t>capacitados</t>
  </si>
  <si>
    <t>becaext</t>
  </si>
  <si>
    <t>certificacion</t>
  </si>
  <si>
    <t>servtec</t>
  </si>
  <si>
    <t>ON</t>
  </si>
  <si>
    <t>Otro</t>
  </si>
  <si>
    <t>OTRO</t>
  </si>
  <si>
    <t>gastodoc</t>
  </si>
  <si>
    <t>gastoejercido</t>
  </si>
  <si>
    <t>presejertot</t>
  </si>
  <si>
    <t>presereptot</t>
  </si>
  <si>
    <t>presejerf</t>
  </si>
  <si>
    <t>presreprf</t>
  </si>
  <si>
    <t>presrepgc</t>
  </si>
  <si>
    <t>presrepgi</t>
  </si>
  <si>
    <t>ipejer</t>
  </si>
  <si>
    <t>ipprog</t>
  </si>
  <si>
    <t>presreppr</t>
  </si>
  <si>
    <t>gcejercido</t>
  </si>
  <si>
    <t>giejer</t>
  </si>
  <si>
    <t>presupejerip</t>
  </si>
  <si>
    <t>ipcapt</t>
  </si>
  <si>
    <t>presejerpr</t>
  </si>
  <si>
    <t>INDICADORES FINANCIEROS RAMO 11</t>
  </si>
  <si>
    <t>Evolución del Presupuesto Reprogramado Total (%)</t>
  </si>
  <si>
    <t>Evolución del Presupuesto Reprogramado (%)</t>
  </si>
  <si>
    <t>Evolución del Gasto Corriente (%)</t>
  </si>
  <si>
    <t>Evolución del Gasto de Inversión (%)</t>
  </si>
  <si>
    <t>Autofinanciamiento (%)</t>
  </si>
  <si>
    <t>Captación de Ingresos Propios (%)</t>
  </si>
  <si>
    <t>Cumplimiento de Normatividad de Partidas Restringidas (%)</t>
  </si>
  <si>
    <t>Abandono Escolar (%)</t>
  </si>
  <si>
    <t>Reprobación (%)</t>
  </si>
  <si>
    <t>Costo por alumno ($)</t>
  </si>
  <si>
    <t>Cobertura de becados externos (%)</t>
  </si>
  <si>
    <t>COBERTURA EN EL GRUPO DE EDAD DE LA EDUCACIÓN MEDIA SUPERIOR (%)</t>
  </si>
  <si>
    <t>Fuente: Sistema de Administración Escolar (SAE). Dirección de Servicios Educativos
Población en el grupo de edad.- Proyección de población a mitad de año, CONAPO. Sistema de indicadores y pronósticos de la SEP</t>
  </si>
  <si>
    <t>Entidad / sostenimiento</t>
  </si>
  <si>
    <t>Promedio de COB</t>
  </si>
  <si>
    <t>ATENCIÓN A LA DEMANDA (%)</t>
  </si>
  <si>
    <t>Promedio de ATN</t>
  </si>
  <si>
    <t>ABSORCIÓN DE EGRESADOS DE SECUNDARIA (%)</t>
  </si>
  <si>
    <t>Promedio de ABS</t>
  </si>
  <si>
    <t>Suma de matricula</t>
  </si>
  <si>
    <t>Promedio de ACI</t>
  </si>
  <si>
    <t>APROVECHAMIENTO DE LA CAPACIDAD INSTALADA (%)</t>
  </si>
  <si>
    <t>ABANDONO ESCOLAR (%)</t>
  </si>
  <si>
    <t>Promedio de AE</t>
  </si>
  <si>
    <t>REPROBACIÓN (%)</t>
  </si>
  <si>
    <t>Promedio de REP</t>
  </si>
  <si>
    <t>EFICIENCIA TERMINAL (%)</t>
  </si>
  <si>
    <t>ni_et</t>
  </si>
  <si>
    <t>egre_et</t>
  </si>
  <si>
    <t>Promedio de ET</t>
  </si>
  <si>
    <t>TASA DE EGRESO (%)</t>
  </si>
  <si>
    <t>Promedio de TE</t>
  </si>
  <si>
    <t>Promedio de TIT</t>
  </si>
  <si>
    <t>COSTO POR ALUMNO (%)</t>
  </si>
  <si>
    <t>Promedio de COSTO</t>
  </si>
  <si>
    <t>Promedio de ADOC</t>
  </si>
  <si>
    <t>Promedio de BECAS</t>
  </si>
  <si>
    <t>Año (segundo semestre)</t>
  </si>
  <si>
    <t>Promedio de APC</t>
  </si>
  <si>
    <t>Suma de ADMPC</t>
  </si>
  <si>
    <t>SERVICIOS TECNOLÓGICOS (%)</t>
  </si>
  <si>
    <t>Suma de servtec</t>
  </si>
  <si>
    <t>CERTIFICACIÓN DE COMPETENCIAS (%)</t>
  </si>
  <si>
    <t>Suma de certificacion</t>
  </si>
  <si>
    <t>Suma de capacitados</t>
  </si>
  <si>
    <t>COBERTURA DE BECADOS EXTERNOS (%)</t>
  </si>
  <si>
    <t>AÑO</t>
  </si>
  <si>
    <t>Promedio de BECEXT</t>
  </si>
  <si>
    <t>ADMINISTRATIVOS POR COMPUTADORA (%)</t>
  </si>
  <si>
    <t>ALUMNOS POR COMPUTADORA (%)</t>
  </si>
  <si>
    <t>ALUMNOS POR DOCENTE (%)</t>
  </si>
  <si>
    <t>Cobertura del Padrón de Calidad del Sistema Nacional de Educación Media Superior (PC-SINEMS)</t>
  </si>
  <si>
    <t>Promedio de PCSINEMS</t>
  </si>
  <si>
    <t>COSTO DOCENTE (%)</t>
  </si>
  <si>
    <t>Costo docente (%)</t>
  </si>
  <si>
    <t>Cifras en miles de pesos</t>
  </si>
  <si>
    <t>Gasto Ejercido en docentes</t>
  </si>
  <si>
    <t>Gasto total ejercido</t>
  </si>
  <si>
    <t>ALUMNOS BECADOS (%)</t>
  </si>
  <si>
    <t>Fuente: Dirección de Administración Financiera</t>
  </si>
  <si>
    <t>Presupuesto Reprogramado total</t>
  </si>
  <si>
    <t>Evolución del Presupuesto Reprogramado Total</t>
  </si>
  <si>
    <t>Presupuesto
Ejercido Total</t>
  </si>
  <si>
    <t>EVOLUCIÓN DEL PRESUPUESTO REPROGRAMADO TOTAL (%)</t>
  </si>
  <si>
    <t>EVOLUCIÓN DEL PRESUPUESTO REPROGRAMADO (%)</t>
  </si>
  <si>
    <t>Presupuesto Ejercido (Recursos Fiscales)</t>
  </si>
  <si>
    <t>Evolución del Presupuesto Reprogramado
(Recursos fiscales)</t>
  </si>
  <si>
    <t>Presupuesto Reprogramado
(Recursos Fiscales)</t>
  </si>
  <si>
    <t>EVOLUCIÓN DEL GASTO CORRIENTE (%)</t>
  </si>
  <si>
    <t>Presupuesto Ejercido (Gasto Corriente)</t>
  </si>
  <si>
    <t xml:space="preserve">Evolución del Gasto Corriente </t>
  </si>
  <si>
    <t>Presupuesto Reprogramado
(Gasto Corriente)</t>
  </si>
  <si>
    <t>PERSONAS CAPACITADAS</t>
  </si>
  <si>
    <t>EVOLUCIÓN DEL GASTO DE INVERSIÓN (%)</t>
  </si>
  <si>
    <t>Presupuesto Ejercido (Gasto de Inversión)</t>
  </si>
  <si>
    <t>Evolución del Gasto de Inversión</t>
  </si>
  <si>
    <t>Presupuesto Reprogramado
(Gasto de Inversión)</t>
  </si>
  <si>
    <t>AUTOFINANCIAMIENTO (%)</t>
  </si>
  <si>
    <t>Presupuesto Ejercido Total</t>
  </si>
  <si>
    <t>Ingresos Propios ejercidos</t>
  </si>
  <si>
    <t>Índice de Autofinancimiento</t>
  </si>
  <si>
    <t>CAPTACIÓN DE INGRESOS PROPIOS (%)</t>
  </si>
  <si>
    <t>Ingresos Propios Programados</t>
  </si>
  <si>
    <t>Ingresos Propios captados</t>
  </si>
  <si>
    <t>Captación de Ingresos Propios</t>
  </si>
  <si>
    <t>MATRÍCULA TOTAL</t>
  </si>
  <si>
    <t>Tasa de egreso (%)</t>
  </si>
  <si>
    <t>Titulación por generación (%)</t>
  </si>
  <si>
    <t>_ATN</t>
  </si>
  <si>
    <t>_COB</t>
  </si>
  <si>
    <t>Entidad</t>
  </si>
  <si>
    <t>Indicador</t>
  </si>
  <si>
    <t>Eficiencia Terminal (%)</t>
  </si>
  <si>
    <t>Equipo Informático de uso educativo</t>
  </si>
  <si>
    <t>_ABS</t>
  </si>
  <si>
    <t>_ACI</t>
  </si>
  <si>
    <t>_AE</t>
  </si>
  <si>
    <t>_REP</t>
  </si>
  <si>
    <t>_ET</t>
  </si>
  <si>
    <t>_TIT</t>
  </si>
  <si>
    <t>_COSTO</t>
  </si>
  <si>
    <t>_MAT</t>
  </si>
  <si>
    <t>_ADOC</t>
  </si>
  <si>
    <t>_BECAS</t>
  </si>
  <si>
    <t>_APC</t>
  </si>
  <si>
    <t>_CAP</t>
  </si>
  <si>
    <t>_SERVTEC</t>
  </si>
  <si>
    <t>_CERTIFIC</t>
  </si>
  <si>
    <t>_BECEXT</t>
  </si>
  <si>
    <t>Personas Capacitadas (personas)</t>
  </si>
  <si>
    <t>Servicios Tecnológicos Proporcionados (servicios)</t>
  </si>
  <si>
    <t>Certificación de competencias (personas)</t>
  </si>
  <si>
    <t>2018</t>
  </si>
  <si>
    <t>INDICADORES DE RESULTADOS EDUCATIVOS</t>
  </si>
  <si>
    <t>INDICADORES DE TRAYECTORIA ACADÉMICA</t>
  </si>
  <si>
    <t>INDICADORES DE CAPACIDAD ACADÉMICA</t>
  </si>
  <si>
    <t>INDICADORES DE SERVICIOS EDUCATIVOS</t>
  </si>
  <si>
    <t>2019-2020</t>
  </si>
  <si>
    <t>Alumnos becados (%)*</t>
  </si>
  <si>
    <t>2019</t>
  </si>
  <si>
    <t>Fuente: Dirección de Administración Financiera/ Dirección de Planeación y Programación</t>
  </si>
  <si>
    <t>Fuente: Sistema de Administración Escolar (SAE). Dirección de Servicios Educativos y Sistema de indicadores y Pronósticos de la SEP</t>
  </si>
  <si>
    <t>Fuente: Dirección de Infraestructura y Adquisiciones</t>
  </si>
  <si>
    <t>Fuente: Dirección de Modernización Administrativa y Calidad</t>
  </si>
  <si>
    <t>Fuente: Dirección Corporativa de Tecnologías Aplicadas</t>
  </si>
  <si>
    <t>Alumno por computadora</t>
  </si>
  <si>
    <t>Administrativo por computadora</t>
  </si>
  <si>
    <t>2019*</t>
  </si>
  <si>
    <t>Fuente: Sistema de Administración Escolar (SAE). Dirección de Servicios Educativos
* Nota: Derivado de los acuerdos de la Primera Sesión Extraordinaria del Comité Nacional de Becas 2019, en específico el acuerdo 3. EXTR 1.19 “Los miembros del Comité Nacional de Becas toman conocimiento de la adecuación presupuestal del recurso asignado al Programa S243, por lo que instruyen a la Dirección de Servicios Educativos realice las notificaciones correspondientes respecto a la reorientación de los recursos de becas para cubrir los gastos de operación de los planteles educativos” me permito hacer de su conocimiento que durante el ejercicio fiscal 2019 no se otorgaron becas del Programa Nacional de Becas del CONALEP.</t>
  </si>
  <si>
    <t>Cobertura del Padrón de Calidad de la EMS (%)</t>
  </si>
  <si>
    <t>TITULACIÓN POR GENERACIÓN (%)</t>
  </si>
  <si>
    <t>Fuente: Sistema de Gestión de la Formación Académica (SIGEFA) / Dirección de Formación Académica</t>
  </si>
  <si>
    <t>Fuente: Sistema Estadístico de Capacitación y Tecnológicos (SECyT) / Dirección de Servicios Tecnológicos y Capacitación</t>
  </si>
  <si>
    <t>Fuente: Sistema de Información Ejecutiva (SIE) / Dirección de Vinculación Social</t>
  </si>
  <si>
    <t>Costo Docente (%)
Ciudad de México y Oaxaca</t>
  </si>
  <si>
    <t>Suma de Abandonantres</t>
  </si>
  <si>
    <t>Total Estatal</t>
  </si>
  <si>
    <t>Total Federal</t>
  </si>
  <si>
    <t>Valores</t>
  </si>
  <si>
    <t>Tasa de Egreso 5 años (%)</t>
  </si>
  <si>
    <t>INDICADORES DEL SISTEMA CONALEP 2013-2018</t>
  </si>
  <si>
    <t>Certificación de Competencias</t>
  </si>
  <si>
    <t>Matrícula Total (Alumnos)</t>
  </si>
  <si>
    <t>Atención a la Demanda (%)</t>
  </si>
  <si>
    <t>Titulación por Generación (%)</t>
  </si>
  <si>
    <t>Costo por Alumno ($)</t>
  </si>
  <si>
    <t>Cobertura de Becados Externos (%)</t>
  </si>
  <si>
    <t>Aprovechamiento de la Capacidad Instalada (%)</t>
  </si>
  <si>
    <t>(Todas)</t>
  </si>
  <si>
    <t>INDICADORES DEL SISTEMA CONALEP 2017-2019</t>
  </si>
  <si>
    <t>Ciclo Escolar</t>
  </si>
  <si>
    <t>2019-2020.1</t>
  </si>
  <si>
    <t>2018-2019.1</t>
  </si>
  <si>
    <t>2017-2018.1</t>
  </si>
  <si>
    <t>EJERCICIO FISCAL</t>
  </si>
  <si>
    <t>2016-2019</t>
  </si>
  <si>
    <t>2014-2017</t>
  </si>
  <si>
    <t>2015-2018</t>
  </si>
  <si>
    <t>2013-2016</t>
  </si>
  <si>
    <t>COHORTE GENERACIONAL</t>
  </si>
  <si>
    <t>2012-2015</t>
  </si>
  <si>
    <t>Periodo SEMESTRAL</t>
  </si>
  <si>
    <t>Eficiencia Terminal</t>
  </si>
  <si>
    <t>2020-2021</t>
  </si>
  <si>
    <t>2020*</t>
  </si>
  <si>
    <t>Elaboró</t>
  </si>
  <si>
    <t>Luis Guillermo González Sigala</t>
  </si>
  <si>
    <t>Coordinador de Análisis Estadístico</t>
  </si>
  <si>
    <t>Autorizó</t>
  </si>
  <si>
    <t>Suma de BECEXT</t>
  </si>
  <si>
    <t>Suma de becaext</t>
  </si>
  <si>
    <t>2021-2022</t>
  </si>
  <si>
    <t>evaluacion</t>
  </si>
  <si>
    <t>Suma de evaluacion</t>
  </si>
  <si>
    <t>EVALUACIÓN DE COMPETENCIAS (%)</t>
  </si>
  <si>
    <t>mat_rep</t>
  </si>
  <si>
    <t>2018*</t>
  </si>
  <si>
    <t>2019**</t>
  </si>
  <si>
    <t>2020***</t>
  </si>
  <si>
    <t>2021****</t>
  </si>
  <si>
    <t>Este Indicador se incorpora al Catálogo de Indicadores de Gestión, autorizado en la Cuarta Sesión de la Junta Directiva del año 2021. Por esta razón los datos históricos se reportan a partir del ejercicio 2018.</t>
  </si>
  <si>
    <t>2022-2023</t>
  </si>
  <si>
    <t>INDICADORES DEL SISTEMA CONALEP 2018-2022</t>
  </si>
  <si>
    <t>2020</t>
  </si>
  <si>
    <t>2021</t>
  </si>
  <si>
    <t>2022</t>
  </si>
  <si>
    <t>Indicadores de Gestión. 2018-2022</t>
  </si>
  <si>
    <t>_EVALU</t>
  </si>
  <si>
    <t>Var. 2021-2022</t>
  </si>
  <si>
    <t>Var. 2018-2022</t>
  </si>
  <si>
    <t>Var. %</t>
  </si>
  <si>
    <t>Dif. 2021-2022</t>
  </si>
  <si>
    <t>Dif. 2018-2022</t>
  </si>
  <si>
    <t>Evaluación de competencias (personas)</t>
  </si>
  <si>
    <t>Inserción Laboral por Bolsa de Trabajo (%)</t>
  </si>
  <si>
    <t>Gráfico</t>
  </si>
  <si>
    <t>alum_bolsa</t>
  </si>
  <si>
    <t>alum_colo_bolsa</t>
  </si>
  <si>
    <t>Suma de ACOLO</t>
  </si>
  <si>
    <t>_ACOLO</t>
  </si>
  <si>
    <t>Emmanuel Vázquez Solís</t>
  </si>
  <si>
    <t>Encargado de la Dirección de Evaluación Institucional</t>
  </si>
  <si>
    <t>Evaluación de competencias</t>
  </si>
  <si>
    <t>Eficiencia Terminal(%)</t>
  </si>
  <si>
    <t>2022*****</t>
  </si>
  <si>
    <t>Porcentaje de inserción laboral por bolsa de trabajo</t>
  </si>
  <si>
    <t>INSERCIÓN LABORAL POR BOLSA DE TRABAJO (%)</t>
  </si>
  <si>
    <t>Fuente: Dirección de Administración Financiera
Información refernr a Ciudad de México y Oaxaca</t>
  </si>
  <si>
    <t>En razón del Catálogo de Indicadores de Gestión, autorizado en la Cuarta Sesión de la Junta Directiva del año 2021, el indicador de reprobación se reporta de acuerdo a lo siguiente:
1ª. Sesión del año. Ciclos pares.
3ª. Sesión del año. Ciclos nones.
*2017-2018.2
**2018-2019.2
***2019-2020.2
****2020-2021.2
*****2021-2022.2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</si>
</sst>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44" formatCode="_-&quot;$&quot;* #,##0.00_-;\-&quot;$&quot;* #,##0.00_-;_-&quot;$&quot;* &quot;-&quot;??_-;_-@_-"/>
    <numFmt numFmtId="43" formatCode="_-* #,##0.00_-;\-* #,##0.00_-;_-* &quot;-&quot;??_-;_-@_-"/>
    <numFmt numFmtId="164" formatCode="0.0"/>
    <numFmt numFmtId="165" formatCode="#,##0.0"/>
    <numFmt numFmtId="166" formatCode="0.0%"/>
    <numFmt numFmtId="167" formatCode="_-&quot;$&quot;* #,##0.0_-;\-&quot;$&quot;* #,##0.0_-;_-&quot;$&quot;* &quot;-&quot;?_-;_-@_-"/>
    <numFmt numFmtId="168" formatCode="0.0_ ;\-0.0\ "/>
    <numFmt numFmtId="169" formatCode="&quot;$&quot;#,##0.0"/>
    <numFmt numFmtId="170" formatCode="&quot;$&quot;#,##0.00"/>
    <numFmt numFmtId="171" formatCode="0.0000"/>
  </numFmts>
  <fonts count="52">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9"/>
      <color theme="1"/>
      <name val="Calibri"/>
      <family val="2"/>
      <scheme val="minor"/>
    </font>
    <font>
      <sz val="11"/>
      <color indexed="8"/>
      <name val="Calibri"/>
      <family val="2"/>
    </font>
    <font>
      <b/>
      <sz val="11"/>
      <name val="Montserrat"/>
    </font>
    <font>
      <b/>
      <sz val="10"/>
      <name val="Montserrat"/>
    </font>
    <font>
      <sz val="10"/>
      <name val="Montserrat"/>
    </font>
    <font>
      <sz val="11"/>
      <name val="Montserrat"/>
    </font>
    <font>
      <sz val="12"/>
      <name val="Montserrat"/>
    </font>
    <font>
      <sz val="11"/>
      <color theme="1"/>
      <name val="Montserrat"/>
    </font>
    <font>
      <b/>
      <sz val="10"/>
      <color theme="1"/>
      <name val="Montserrat"/>
    </font>
    <font>
      <sz val="12"/>
      <color theme="1"/>
      <name val="Montserrat"/>
    </font>
    <font>
      <sz val="12"/>
      <color indexed="8"/>
      <name val="Montserrat"/>
    </font>
    <font>
      <b/>
      <sz val="8"/>
      <color indexed="8"/>
      <name val="Montserrat"/>
    </font>
    <font>
      <b/>
      <sz val="8"/>
      <color theme="1"/>
      <name val="Montserrat"/>
    </font>
    <font>
      <b/>
      <sz val="7"/>
      <name val="Montserrat"/>
    </font>
    <font>
      <sz val="8"/>
      <name val="Montserrat"/>
    </font>
    <font>
      <sz val="8"/>
      <color theme="1"/>
      <name val="Montserrat"/>
    </font>
    <font>
      <sz val="8"/>
      <color indexed="8"/>
      <name val="Montserrat"/>
    </font>
    <font>
      <i/>
      <sz val="10"/>
      <color indexed="57"/>
      <name val="Montserrat"/>
    </font>
    <font>
      <i/>
      <sz val="11"/>
      <name val="Montserrat"/>
    </font>
    <font>
      <sz val="7"/>
      <name val="Montserrat"/>
    </font>
    <font>
      <sz val="9"/>
      <color theme="1"/>
      <name val="Montserrat"/>
    </font>
    <font>
      <b/>
      <sz val="9"/>
      <color theme="1"/>
      <name val="Montserrat"/>
    </font>
    <font>
      <b/>
      <sz val="8"/>
      <name val="Montserrat"/>
    </font>
    <font>
      <sz val="8"/>
      <name val="Montserrat ExtraBold"/>
    </font>
    <font>
      <sz val="9"/>
      <color indexed="8"/>
      <name val="Montserrat"/>
    </font>
    <font>
      <b/>
      <sz val="9"/>
      <color indexed="8"/>
      <name val="Montserrat"/>
    </font>
    <font>
      <sz val="9"/>
      <color theme="0"/>
      <name val="Montserrat"/>
    </font>
    <font>
      <sz val="6"/>
      <color theme="1"/>
      <name val="Montserrat"/>
    </font>
    <font>
      <sz val="10"/>
      <color theme="1"/>
      <name val="Montserrat"/>
    </font>
    <font>
      <i/>
      <sz val="6"/>
      <color theme="1"/>
      <name val="Montserrat"/>
    </font>
    <font>
      <sz val="9"/>
      <name val="Montserrat"/>
    </font>
    <font>
      <b/>
      <sz val="9"/>
      <name val="Montserrat"/>
    </font>
    <font>
      <sz val="8"/>
      <color theme="1"/>
      <name val="Calibri"/>
      <family val="2"/>
      <scheme val="minor"/>
    </font>
    <font>
      <sz val="7"/>
      <color theme="1"/>
      <name val="Montserrat"/>
    </font>
    <font>
      <i/>
      <sz val="10"/>
      <name val="Montserrat"/>
    </font>
    <font>
      <b/>
      <sz val="14"/>
      <name val="Montserrat"/>
    </font>
    <font>
      <sz val="10"/>
      <name val="Montserrat SemiBold"/>
    </font>
    <font>
      <b/>
      <sz val="10"/>
      <name val="Montserrat SemiBold"/>
    </font>
    <font>
      <i/>
      <sz val="10"/>
      <color indexed="57"/>
      <name val="Montserrat SemiBold"/>
    </font>
    <font>
      <sz val="12"/>
      <name val="Montserrat ExtraBold"/>
    </font>
    <font>
      <b/>
      <sz val="12"/>
      <name val="Montserrat"/>
    </font>
    <font>
      <b/>
      <sz val="14"/>
      <color theme="1" tint="0.34998626667073579"/>
      <name val="Montserrat"/>
    </font>
    <font>
      <b/>
      <sz val="12"/>
      <color theme="1" tint="0.34998626667073579"/>
      <name val="Montserrat"/>
    </font>
    <font>
      <sz val="8"/>
      <color rgb="FFFF0000"/>
      <name val="Montserrat"/>
    </font>
    <font>
      <sz val="9"/>
      <color theme="1"/>
      <name val="Soberana sans"/>
      <family val="2"/>
    </font>
    <font>
      <b/>
      <sz val="8"/>
      <color theme="0"/>
      <name val="Montserrat"/>
    </font>
    <font>
      <b/>
      <sz val="11"/>
      <color theme="1"/>
      <name val="Calibri"/>
      <family val="2"/>
      <scheme val="minor"/>
    </font>
    <font>
      <sz val="11"/>
      <color theme="1"/>
      <name val="Calibri"/>
      <scheme val="minor"/>
    </font>
  </fonts>
  <fills count="25">
    <fill>
      <patternFill patternType="none"/>
    </fill>
    <fill>
      <patternFill patternType="gray125"/>
    </fill>
    <fill>
      <patternFill patternType="solid">
        <fgColor theme="6"/>
      </patternFill>
    </fill>
    <fill>
      <patternFill patternType="solid">
        <fgColor theme="4" tint="0.79998168889431442"/>
        <bgColor indexed="64"/>
      </patternFill>
    </fill>
    <fill>
      <patternFill patternType="solid">
        <fgColor theme="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lightUp">
        <fgColor theme="0" tint="-0.34998626667073579"/>
        <bgColor indexed="65"/>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0000"/>
        <bgColor indexed="64"/>
      </patternFill>
    </fill>
    <fill>
      <patternFill patternType="solid">
        <fgColor theme="8" tint="0.79998168889431442"/>
        <bgColor indexed="64"/>
      </patternFill>
    </fill>
    <fill>
      <patternFill patternType="solid">
        <fgColor theme="0" tint="-0.14999847407452621"/>
        <bgColor theme="0" tint="-0.14999847407452621"/>
      </patternFill>
    </fill>
    <fill>
      <patternFill patternType="solid">
        <fgColor theme="0"/>
        <bgColor theme="0"/>
      </patternFill>
    </fill>
    <fill>
      <patternFill patternType="solid">
        <fgColor theme="0"/>
        <bgColor theme="0" tint="-0.14999847407452621"/>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right/>
      <top style="thin">
        <color theme="1" tint="0.499984740745262"/>
      </top>
      <bottom style="thin">
        <color theme="1" tint="0.499984740745262"/>
      </bottom>
      <diagonal/>
    </border>
    <border>
      <left/>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right/>
      <top style="thin">
        <color theme="0" tint="-0.14999847407452621"/>
      </top>
      <bottom style="thin">
        <color theme="1" tint="0.499984740745262"/>
      </bottom>
      <diagonal/>
    </border>
    <border>
      <left/>
      <right/>
      <top style="thin">
        <color theme="1" tint="0.499984740745262"/>
      </top>
      <bottom style="thin">
        <color theme="0" tint="-0.14999847407452621"/>
      </bottom>
      <diagonal/>
    </border>
    <border>
      <left/>
      <right/>
      <top style="thin">
        <color theme="0" tint="-0.14999847407452621"/>
      </top>
      <bottom/>
      <diagonal/>
    </border>
    <border>
      <left style="thin">
        <color theme="0"/>
      </left>
      <right/>
      <top/>
      <bottom/>
      <diagonal/>
    </border>
    <border>
      <left/>
      <right/>
      <top style="thin">
        <color theme="0" tint="-0.14999847407452621"/>
      </top>
      <bottom style="thin">
        <color indexed="64"/>
      </bottom>
      <diagonal/>
    </border>
  </borders>
  <cellStyleXfs count="16">
    <xf numFmtId="0" fontId="0" fillId="0" borderId="0"/>
    <xf numFmtId="9" fontId="1" fillId="0" borderId="0" applyFont="0" applyFill="0" applyBorder="0" applyAlignment="0" applyProtection="0"/>
    <xf numFmtId="0" fontId="2" fillId="2" borderId="0" applyNumberFormat="0" applyBorder="0" applyAlignment="0" applyProtection="0"/>
    <xf numFmtId="0" fontId="3" fillId="0" borderId="0"/>
    <xf numFmtId="9" fontId="5" fillId="0" borderId="0" applyFont="0" applyFill="0" applyBorder="0" applyAlignment="0" applyProtection="0"/>
    <xf numFmtId="0" fontId="2" fillId="4" borderId="0" applyNumberFormat="0" applyBorder="0" applyAlignment="0" applyProtection="0"/>
    <xf numFmtId="0" fontId="1" fillId="5" borderId="0" applyNumberFormat="0" applyBorder="0" applyAlignment="0" applyProtection="0"/>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48" fillId="0" borderId="0"/>
  </cellStyleXfs>
  <cellXfs count="372">
    <xf numFmtId="0" fontId="0" fillId="0" borderId="0" xfId="0"/>
    <xf numFmtId="0" fontId="0" fillId="0" borderId="0" xfId="0" applyAlignment="1">
      <alignment horizontal="center"/>
    </xf>
    <xf numFmtId="0" fontId="4" fillId="0" borderId="0" xfId="0" applyFont="1"/>
    <xf numFmtId="0" fontId="0" fillId="0" borderId="0" xfId="0"/>
    <xf numFmtId="0" fontId="6" fillId="0" borderId="0" xfId="2" applyFont="1" applyFill="1" applyBorder="1" applyAlignment="1">
      <alignment horizontal="center" vertical="center" wrapText="1"/>
    </xf>
    <xf numFmtId="0" fontId="11" fillId="0" borderId="0" xfId="0" applyFont="1"/>
    <xf numFmtId="0" fontId="17" fillId="0" borderId="0" xfId="3" applyFont="1" applyAlignment="1">
      <alignment horizontal="right"/>
    </xf>
    <xf numFmtId="0" fontId="8" fillId="0" borderId="0" xfId="3" applyFont="1"/>
    <xf numFmtId="0" fontId="19" fillId="0" borderId="0" xfId="0" applyFont="1"/>
    <xf numFmtId="0" fontId="19" fillId="0" borderId="0" xfId="0" applyFont="1" applyAlignment="1">
      <alignment horizontal="center"/>
    </xf>
    <xf numFmtId="0" fontId="20" fillId="0" borderId="0" xfId="0" applyFont="1" applyAlignment="1" applyProtection="1">
      <alignment horizontal="center" vertical="top" wrapText="1"/>
      <protection locked="0"/>
    </xf>
    <xf numFmtId="3" fontId="20" fillId="3" borderId="1" xfId="0" applyNumberFormat="1" applyFont="1" applyFill="1" applyBorder="1" applyAlignment="1" applyProtection="1">
      <alignment horizontal="center"/>
    </xf>
    <xf numFmtId="3" fontId="20" fillId="6" borderId="1" xfId="0" applyNumberFormat="1" applyFont="1" applyFill="1" applyBorder="1" applyAlignment="1" applyProtection="1">
      <alignment horizontal="center"/>
    </xf>
    <xf numFmtId="3" fontId="20" fillId="14" borderId="1" xfId="0" applyNumberFormat="1" applyFont="1" applyFill="1" applyBorder="1" applyAlignment="1" applyProtection="1">
      <alignment horizontal="center"/>
    </xf>
    <xf numFmtId="0" fontId="21" fillId="0" borderId="0" xfId="3" applyFont="1" applyAlignment="1">
      <alignment vertical="center"/>
    </xf>
    <xf numFmtId="0" fontId="8" fillId="0" borderId="0" xfId="3" applyFont="1" applyAlignment="1">
      <alignment vertical="center"/>
    </xf>
    <xf numFmtId="0" fontId="8" fillId="0" borderId="0" xfId="3" applyFont="1" applyFill="1"/>
    <xf numFmtId="0" fontId="9" fillId="0" borderId="0" xfId="3" applyFont="1"/>
    <xf numFmtId="0" fontId="22" fillId="0" borderId="0" xfId="3" applyFont="1" applyAlignment="1">
      <alignment vertical="center"/>
    </xf>
    <xf numFmtId="0" fontId="7" fillId="8" borderId="1" xfId="2" applyFont="1" applyFill="1" applyBorder="1" applyAlignment="1">
      <alignment horizontal="center" vertical="center" wrapText="1"/>
    </xf>
    <xf numFmtId="0" fontId="23" fillId="0" borderId="1" xfId="5" applyFont="1" applyFill="1" applyBorder="1" applyAlignment="1">
      <alignment vertical="center" wrapText="1"/>
    </xf>
    <xf numFmtId="0" fontId="23" fillId="0" borderId="0" xfId="5" applyFont="1" applyFill="1" applyBorder="1" applyAlignment="1">
      <alignment vertical="center"/>
    </xf>
    <xf numFmtId="0" fontId="23" fillId="0" borderId="0" xfId="5" applyFont="1" applyFill="1" applyBorder="1" applyAlignment="1">
      <alignment vertical="center" wrapText="1"/>
    </xf>
    <xf numFmtId="164" fontId="23" fillId="0" borderId="0" xfId="5" applyNumberFormat="1" applyFont="1" applyFill="1" applyBorder="1" applyAlignment="1">
      <alignment horizontal="center" vertical="center"/>
    </xf>
    <xf numFmtId="166" fontId="23" fillId="0" borderId="0" xfId="1" applyNumberFormat="1" applyFont="1" applyFill="1" applyBorder="1" applyAlignment="1">
      <alignment vertical="center"/>
    </xf>
    <xf numFmtId="3" fontId="23" fillId="0" borderId="0" xfId="5" applyNumberFormat="1" applyFont="1" applyFill="1" applyBorder="1" applyAlignment="1">
      <alignment vertical="center"/>
    </xf>
    <xf numFmtId="0" fontId="23" fillId="0" borderId="1" xfId="6" applyFont="1" applyFill="1" applyBorder="1" applyAlignment="1">
      <alignment horizontal="center" vertical="center"/>
    </xf>
    <xf numFmtId="0" fontId="23" fillId="0" borderId="1" xfId="6" applyFont="1" applyFill="1" applyBorder="1" applyAlignment="1">
      <alignment horizontal="left" vertical="center" wrapText="1"/>
    </xf>
    <xf numFmtId="3" fontId="20" fillId="12" borderId="1" xfId="0" applyNumberFormat="1" applyFont="1" applyFill="1" applyBorder="1" applyAlignment="1" applyProtection="1">
      <alignment horizontal="center" vertical="center" wrapText="1"/>
    </xf>
    <xf numFmtId="3" fontId="20" fillId="13" borderId="1" xfId="0" applyNumberFormat="1" applyFont="1" applyFill="1" applyBorder="1" applyAlignment="1" applyProtection="1">
      <alignment horizontal="center" vertical="center" wrapText="1"/>
    </xf>
    <xf numFmtId="0" fontId="19" fillId="12" borderId="1" xfId="0" applyFont="1" applyFill="1" applyBorder="1" applyProtection="1"/>
    <xf numFmtId="0" fontId="19" fillId="12" borderId="1" xfId="0" applyFont="1" applyFill="1" applyBorder="1" applyAlignment="1" applyProtection="1">
      <alignment horizontal="center"/>
    </xf>
    <xf numFmtId="0" fontId="19" fillId="11" borderId="1" xfId="0" applyFont="1" applyFill="1" applyBorder="1" applyProtection="1"/>
    <xf numFmtId="0" fontId="19" fillId="11" borderId="1" xfId="0" applyFont="1" applyFill="1" applyBorder="1" applyAlignment="1" applyProtection="1">
      <alignment horizontal="center"/>
    </xf>
    <xf numFmtId="3" fontId="20" fillId="11" borderId="1" xfId="0" applyNumberFormat="1" applyFont="1" applyFill="1" applyBorder="1" applyAlignment="1" applyProtection="1">
      <alignment horizontal="center" vertical="center" wrapText="1"/>
    </xf>
    <xf numFmtId="0" fontId="19" fillId="13" borderId="1" xfId="0" applyFont="1" applyFill="1" applyBorder="1" applyProtection="1"/>
    <xf numFmtId="0" fontId="19" fillId="13" borderId="1" xfId="0" applyFont="1" applyFill="1" applyBorder="1" applyAlignment="1" applyProtection="1">
      <alignment horizontal="center"/>
    </xf>
    <xf numFmtId="0" fontId="19" fillId="3" borderId="1" xfId="0" applyFont="1" applyFill="1" applyBorder="1" applyProtection="1"/>
    <xf numFmtId="0" fontId="19" fillId="3" borderId="1" xfId="0" applyFont="1" applyFill="1" applyBorder="1" applyAlignment="1" applyProtection="1">
      <alignment horizontal="center"/>
    </xf>
    <xf numFmtId="0" fontId="19" fillId="6" borderId="1" xfId="0" applyFont="1" applyFill="1" applyBorder="1" applyProtection="1"/>
    <xf numFmtId="0" fontId="19" fillId="6" borderId="1" xfId="0" applyFont="1" applyFill="1" applyBorder="1" applyAlignment="1" applyProtection="1">
      <alignment horizontal="center"/>
    </xf>
    <xf numFmtId="0" fontId="19" fillId="14" borderId="1" xfId="0" applyFont="1" applyFill="1" applyBorder="1" applyProtection="1"/>
    <xf numFmtId="0" fontId="19" fillId="14" borderId="1" xfId="0" applyFont="1" applyFill="1" applyBorder="1" applyAlignment="1" applyProtection="1">
      <alignment horizontal="center"/>
    </xf>
    <xf numFmtId="0" fontId="19" fillId="7" borderId="1" xfId="0" applyFont="1" applyFill="1" applyBorder="1" applyProtection="1"/>
    <xf numFmtId="0" fontId="19" fillId="7" borderId="1" xfId="0" applyFont="1" applyFill="1" applyBorder="1" applyAlignment="1" applyProtection="1">
      <alignment horizontal="center"/>
    </xf>
    <xf numFmtId="3" fontId="19" fillId="7" borderId="1" xfId="0" applyNumberFormat="1" applyFont="1" applyFill="1" applyBorder="1" applyAlignment="1" applyProtection="1">
      <alignment horizontal="center"/>
    </xf>
    <xf numFmtId="0" fontId="19" fillId="7" borderId="1" xfId="0" applyNumberFormat="1" applyFont="1" applyFill="1" applyBorder="1" applyAlignment="1" applyProtection="1">
      <alignment horizontal="center"/>
    </xf>
    <xf numFmtId="0" fontId="24" fillId="0" borderId="0" xfId="0" pivotButton="1" applyFont="1"/>
    <xf numFmtId="0" fontId="24" fillId="0" borderId="0" xfId="0" applyFont="1"/>
    <xf numFmtId="0" fontId="24" fillId="0" borderId="0" xfId="0" applyFont="1" applyAlignment="1">
      <alignment horizontal="left"/>
    </xf>
    <xf numFmtId="3" fontId="24" fillId="0" borderId="0" xfId="0" applyNumberFormat="1" applyFont="1"/>
    <xf numFmtId="0" fontId="24" fillId="0" borderId="0" xfId="0" applyFont="1" applyAlignment="1">
      <alignment horizontal="left" indent="1"/>
    </xf>
    <xf numFmtId="0" fontId="6" fillId="8" borderId="4" xfId="2" applyFont="1" applyFill="1" applyBorder="1" applyAlignment="1">
      <alignment horizontal="centerContinuous" vertical="center" wrapText="1"/>
    </xf>
    <xf numFmtId="0" fontId="6" fillId="8" borderId="5" xfId="2" applyFont="1" applyFill="1" applyBorder="1" applyAlignment="1">
      <alignment horizontal="centerContinuous" vertical="center" wrapText="1"/>
    </xf>
    <xf numFmtId="0" fontId="6" fillId="8" borderId="6" xfId="2" applyFont="1" applyFill="1" applyBorder="1" applyAlignment="1">
      <alignment horizontal="centerContinuous" vertical="center" wrapText="1"/>
    </xf>
    <xf numFmtId="0" fontId="7" fillId="8" borderId="5" xfId="2" applyFont="1" applyFill="1" applyBorder="1" applyAlignment="1">
      <alignment vertical="center" wrapText="1"/>
    </xf>
    <xf numFmtId="0" fontId="7" fillId="8" borderId="6" xfId="2" applyFont="1" applyFill="1" applyBorder="1" applyAlignment="1">
      <alignment vertical="center" wrapText="1"/>
    </xf>
    <xf numFmtId="0" fontId="26" fillId="8" borderId="4" xfId="2" applyFont="1" applyFill="1" applyBorder="1" applyAlignment="1">
      <alignment vertical="center"/>
    </xf>
    <xf numFmtId="0" fontId="23" fillId="0" borderId="1" xfId="5" applyFont="1" applyFill="1" applyBorder="1" applyAlignment="1">
      <alignment horizontal="justify" vertical="center" wrapText="1"/>
    </xf>
    <xf numFmtId="0" fontId="23" fillId="0" borderId="2" xfId="5" applyFont="1" applyFill="1" applyBorder="1" applyAlignment="1">
      <alignment horizontal="left" vertical="center" wrapText="1"/>
    </xf>
    <xf numFmtId="0" fontId="23" fillId="9" borderId="1" xfId="6" applyFont="1" applyFill="1" applyBorder="1" applyAlignment="1">
      <alignment vertical="center" wrapText="1"/>
    </xf>
    <xf numFmtId="0" fontId="23" fillId="9" borderId="1" xfId="5" applyFont="1" applyFill="1" applyBorder="1" applyAlignment="1">
      <alignment vertical="center" wrapText="1"/>
    </xf>
    <xf numFmtId="0" fontId="23" fillId="9" borderId="1" xfId="5" applyFont="1" applyFill="1" applyBorder="1" applyAlignment="1">
      <alignment horizontal="left" vertical="center"/>
    </xf>
    <xf numFmtId="0" fontId="11" fillId="0" borderId="0" xfId="0" applyFont="1" applyAlignment="1">
      <alignment horizontal="center"/>
    </xf>
    <xf numFmtId="0" fontId="27" fillId="0" borderId="0" xfId="3" applyFont="1" applyAlignment="1">
      <alignment horizontal="right"/>
    </xf>
    <xf numFmtId="0" fontId="10" fillId="0" borderId="0" xfId="0" applyFont="1" applyFill="1" applyAlignment="1">
      <alignment horizontal="center" vertical="center"/>
    </xf>
    <xf numFmtId="0" fontId="13" fillId="0" borderId="0" xfId="0" applyFont="1" applyAlignment="1">
      <alignment horizontal="center"/>
    </xf>
    <xf numFmtId="0" fontId="11" fillId="0" borderId="0" xfId="0" applyFont="1" applyFill="1" applyAlignment="1">
      <alignment horizontal="center"/>
    </xf>
    <xf numFmtId="0" fontId="0" fillId="0" borderId="0" xfId="0" applyFont="1"/>
    <xf numFmtId="2" fontId="11" fillId="0" borderId="0" xfId="0" applyNumberFormat="1" applyFont="1" applyFill="1" applyAlignment="1">
      <alignment horizontal="center"/>
    </xf>
    <xf numFmtId="2" fontId="0" fillId="0" borderId="0" xfId="0" applyNumberFormat="1" applyFont="1"/>
    <xf numFmtId="0" fontId="14" fillId="0" borderId="0" xfId="0" applyFont="1" applyFill="1" applyBorder="1" applyAlignment="1">
      <alignment horizontal="center"/>
    </xf>
    <xf numFmtId="0" fontId="16" fillId="0" borderId="0" xfId="0" applyFont="1" applyAlignment="1">
      <alignment horizontal="center"/>
    </xf>
    <xf numFmtId="4" fontId="24" fillId="0" borderId="0" xfId="0" applyNumberFormat="1" applyFont="1"/>
    <xf numFmtId="2" fontId="24" fillId="0" borderId="0" xfId="0" applyNumberFormat="1" applyFont="1"/>
    <xf numFmtId="164" fontId="24" fillId="0" borderId="0" xfId="0" applyNumberFormat="1" applyFont="1"/>
    <xf numFmtId="0" fontId="29" fillId="10" borderId="0" xfId="0" applyFont="1" applyFill="1" applyBorder="1" applyAlignment="1">
      <alignment horizontal="center" vertical="center" wrapText="1"/>
    </xf>
    <xf numFmtId="0" fontId="28" fillId="0" borderId="0" xfId="0" applyFont="1" applyFill="1" applyBorder="1" applyAlignment="1">
      <alignment horizontal="center" vertical="center"/>
    </xf>
    <xf numFmtId="2"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164" fontId="25" fillId="0" borderId="0" xfId="0" applyNumberFormat="1" applyFont="1"/>
    <xf numFmtId="0" fontId="12" fillId="10" borderId="0" xfId="2" applyFont="1" applyFill="1" applyBorder="1" applyAlignment="1">
      <alignment horizontal="centerContinuous" vertical="center" readingOrder="1"/>
    </xf>
    <xf numFmtId="2" fontId="25" fillId="0" borderId="0" xfId="0" applyNumberFormat="1" applyFont="1"/>
    <xf numFmtId="0" fontId="30" fillId="0" borderId="0" xfId="0" pivotButton="1" applyFont="1"/>
    <xf numFmtId="0" fontId="31" fillId="0" borderId="0" xfId="0" applyFont="1" applyAlignment="1">
      <alignment horizontal="centerContinuous" wrapText="1"/>
    </xf>
    <xf numFmtId="0" fontId="31" fillId="0" borderId="0" xfId="0" applyFont="1" applyAlignment="1">
      <alignment horizontal="centerContinuous"/>
    </xf>
    <xf numFmtId="4" fontId="25" fillId="0" borderId="0" xfId="0" applyNumberFormat="1" applyFont="1"/>
    <xf numFmtId="3" fontId="25" fillId="0" borderId="0" xfId="0" applyNumberFormat="1" applyFont="1"/>
    <xf numFmtId="0" fontId="18" fillId="0" borderId="2" xfId="5" applyFont="1" applyFill="1" applyBorder="1" applyAlignment="1">
      <alignment horizontal="center" vertical="center"/>
    </xf>
    <xf numFmtId="0" fontId="18" fillId="9" borderId="1" xfId="5" applyFont="1" applyFill="1" applyBorder="1" applyAlignment="1">
      <alignment horizontal="center" vertical="center"/>
    </xf>
    <xf numFmtId="0" fontId="18" fillId="0" borderId="1" xfId="5" applyFont="1" applyFill="1" applyBorder="1" applyAlignment="1">
      <alignment horizontal="center" vertical="center"/>
    </xf>
    <xf numFmtId="3" fontId="18" fillId="0" borderId="1" xfId="5"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2" fontId="18" fillId="0" borderId="2" xfId="1" applyNumberFormat="1" applyFont="1" applyFill="1" applyBorder="1" applyAlignment="1">
      <alignment horizontal="right" vertical="center"/>
    </xf>
    <xf numFmtId="2" fontId="18" fillId="9" borderId="1" xfId="1" applyNumberFormat="1" applyFont="1" applyFill="1" applyBorder="1" applyAlignment="1">
      <alignment horizontal="right" vertical="center"/>
    </xf>
    <xf numFmtId="2" fontId="18" fillId="9" borderId="1" xfId="5" applyNumberFormat="1" applyFont="1" applyFill="1" applyBorder="1" applyAlignment="1">
      <alignment horizontal="right" vertical="center"/>
    </xf>
    <xf numFmtId="164" fontId="29" fillId="0" borderId="0" xfId="0" applyNumberFormat="1" applyFont="1" applyFill="1" applyBorder="1" applyAlignment="1">
      <alignment horizontal="center" vertical="center"/>
    </xf>
    <xf numFmtId="165" fontId="18" fillId="9" borderId="1" xfId="1" applyNumberFormat="1" applyFont="1" applyFill="1" applyBorder="1" applyAlignment="1">
      <alignment horizontal="right" vertical="center"/>
    </xf>
    <xf numFmtId="165" fontId="18" fillId="9" borderId="1" xfId="5" applyNumberFormat="1" applyFont="1" applyFill="1" applyBorder="1" applyAlignment="1">
      <alignment horizontal="right" vertical="center"/>
    </xf>
    <xf numFmtId="0" fontId="17" fillId="8" borderId="4" xfId="2" applyFont="1" applyFill="1" applyBorder="1" applyAlignment="1">
      <alignment vertical="center"/>
    </xf>
    <xf numFmtId="0" fontId="17" fillId="8" borderId="5" xfId="2" applyFont="1" applyFill="1" applyBorder="1" applyAlignment="1">
      <alignment vertical="center"/>
    </xf>
    <xf numFmtId="3" fontId="18" fillId="0" borderId="1" xfId="1" applyNumberFormat="1" applyFont="1" applyFill="1" applyBorder="1" applyAlignment="1">
      <alignment horizontal="right" vertical="center"/>
    </xf>
    <xf numFmtId="2" fontId="18" fillId="0" borderId="1" xfId="1" applyNumberFormat="1" applyFont="1" applyFill="1" applyBorder="1" applyAlignment="1">
      <alignment horizontal="right" vertical="center"/>
    </xf>
    <xf numFmtId="2" fontId="18" fillId="0" borderId="1" xfId="5" applyNumberFormat="1" applyFont="1" applyFill="1" applyBorder="1" applyAlignment="1">
      <alignment horizontal="right" vertical="center"/>
    </xf>
    <xf numFmtId="165" fontId="18" fillId="0" borderId="1" xfId="1" applyNumberFormat="1" applyFont="1" applyFill="1" applyBorder="1" applyAlignment="1">
      <alignment horizontal="right" vertical="center"/>
    </xf>
    <xf numFmtId="165" fontId="18" fillId="0" borderId="1" xfId="5" applyNumberFormat="1" applyFont="1" applyFill="1" applyBorder="1" applyAlignment="1">
      <alignment horizontal="right" vertical="center"/>
    </xf>
    <xf numFmtId="2" fontId="28" fillId="0" borderId="0" xfId="0" applyNumberFormat="1" applyFont="1" applyFill="1" applyAlignment="1">
      <alignment horizontal="center" vertical="center"/>
    </xf>
    <xf numFmtId="1" fontId="24" fillId="0" borderId="0" xfId="0" applyNumberFormat="1" applyFont="1"/>
    <xf numFmtId="165" fontId="29" fillId="0" borderId="0" xfId="0" applyNumberFormat="1" applyFont="1" applyFill="1" applyBorder="1" applyAlignment="1">
      <alignment horizontal="right" vertical="center"/>
    </xf>
    <xf numFmtId="0" fontId="16" fillId="0" borderId="0" xfId="0" applyFont="1" applyAlignment="1">
      <alignment horizontal="center"/>
    </xf>
    <xf numFmtId="0" fontId="24" fillId="0" borderId="0" xfId="0" applyNumberFormat="1" applyFont="1"/>
    <xf numFmtId="0" fontId="32" fillId="0" borderId="0" xfId="0" applyFont="1" applyAlignment="1">
      <alignment horizontal="left"/>
    </xf>
    <xf numFmtId="0" fontId="30" fillId="0" borderId="0" xfId="0" applyFont="1"/>
    <xf numFmtId="165" fontId="32" fillId="0" borderId="0" xfId="0" applyNumberFormat="1" applyFont="1"/>
    <xf numFmtId="0" fontId="24" fillId="0" borderId="0" xfId="0" applyFont="1" applyAlignment="1">
      <alignment horizontal="center" vertical="center" wrapText="1"/>
    </xf>
    <xf numFmtId="0" fontId="0" fillId="0" borderId="0" xfId="0" applyAlignment="1">
      <alignment horizontal="center" vertical="center" wrapText="1"/>
    </xf>
    <xf numFmtId="165" fontId="12" fillId="0" borderId="0" xfId="0" applyNumberFormat="1" applyFont="1"/>
    <xf numFmtId="0" fontId="16" fillId="0" borderId="0" xfId="0" applyFont="1"/>
    <xf numFmtId="167" fontId="32" fillId="0" borderId="0" xfId="0" applyNumberFormat="1" applyFont="1"/>
    <xf numFmtId="165" fontId="12" fillId="10" borderId="0" xfId="0" applyNumberFormat="1" applyFont="1" applyFill="1"/>
    <xf numFmtId="0" fontId="12" fillId="10" borderId="0" xfId="0" applyFont="1" applyFill="1" applyAlignment="1">
      <alignment horizontal="center"/>
    </xf>
    <xf numFmtId="0" fontId="32" fillId="0" borderId="0" xfId="0" applyFont="1" applyAlignment="1">
      <alignment horizontal="center"/>
    </xf>
    <xf numFmtId="0" fontId="33" fillId="0" borderId="0" xfId="0" applyFont="1" applyAlignment="1">
      <alignment vertical="center"/>
    </xf>
    <xf numFmtId="168" fontId="32" fillId="0" borderId="0" xfId="0" applyNumberFormat="1" applyFont="1"/>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32" fillId="0" borderId="0" xfId="0" applyFont="1" applyAlignment="1">
      <alignment horizontal="center" vertical="center" wrapText="1"/>
    </xf>
    <xf numFmtId="164" fontId="32" fillId="0" borderId="0" xfId="0" applyNumberFormat="1" applyFont="1"/>
    <xf numFmtId="0" fontId="32" fillId="0" borderId="0" xfId="0" applyFont="1" applyAlignment="1">
      <alignment horizontal="center" wrapText="1"/>
    </xf>
    <xf numFmtId="0" fontId="0" fillId="0" borderId="0" xfId="0" applyAlignment="1">
      <alignment vertical="center" wrapText="1"/>
    </xf>
    <xf numFmtId="0" fontId="24" fillId="0" borderId="0" xfId="0" applyFont="1" applyAlignment="1">
      <alignment horizontal="right" vertical="center" wrapText="1"/>
    </xf>
    <xf numFmtId="0" fontId="23" fillId="0" borderId="0" xfId="3" applyFont="1"/>
    <xf numFmtId="0" fontId="19" fillId="0" borderId="0" xfId="0" pivotButton="1" applyFont="1"/>
    <xf numFmtId="0" fontId="36" fillId="0" borderId="0" xfId="0" applyFont="1"/>
    <xf numFmtId="0" fontId="19" fillId="0" borderId="0" xfId="0" pivotButton="1" applyFont="1" applyAlignment="1">
      <alignment horizontal="center"/>
    </xf>
    <xf numFmtId="0" fontId="19" fillId="0" borderId="0" xfId="0" applyFont="1" applyAlignment="1">
      <alignment horizontal="left"/>
    </xf>
    <xf numFmtId="2" fontId="19" fillId="0" borderId="0" xfId="0" applyNumberFormat="1" applyFont="1"/>
    <xf numFmtId="4" fontId="19" fillId="0" borderId="0" xfId="0" applyNumberFormat="1" applyFont="1"/>
    <xf numFmtId="164" fontId="19" fillId="0" borderId="0" xfId="0" applyNumberFormat="1" applyFont="1"/>
    <xf numFmtId="169" fontId="19" fillId="0" borderId="0" xfId="0" applyNumberFormat="1" applyFont="1"/>
    <xf numFmtId="0" fontId="19" fillId="0" borderId="0" xfId="0" applyFont="1" applyAlignment="1">
      <alignment horizontal="centerContinuous" wrapText="1"/>
    </xf>
    <xf numFmtId="0" fontId="19" fillId="0" borderId="0" xfId="0" applyFont="1" applyAlignment="1">
      <alignment horizontal="centerContinuous"/>
    </xf>
    <xf numFmtId="0" fontId="37" fillId="0" borderId="0" xfId="0" applyFont="1" applyAlignment="1">
      <alignment horizontal="center" vertical="center"/>
    </xf>
    <xf numFmtId="165" fontId="19" fillId="0" borderId="0" xfId="0" applyNumberFormat="1" applyFont="1"/>
    <xf numFmtId="0" fontId="38" fillId="0" borderId="0" xfId="3" applyFont="1" applyAlignment="1">
      <alignment horizontal="right"/>
    </xf>
    <xf numFmtId="0" fontId="38" fillId="0" borderId="0" xfId="3" applyFont="1" applyFill="1" applyAlignment="1">
      <alignment horizontal="right"/>
    </xf>
    <xf numFmtId="0" fontId="8" fillId="0" borderId="0" xfId="3" applyFont="1" applyFill="1" applyAlignment="1">
      <alignment vertical="center"/>
    </xf>
    <xf numFmtId="0" fontId="8" fillId="0" borderId="0" xfId="3" applyFont="1" applyAlignment="1">
      <alignment horizontal="center"/>
    </xf>
    <xf numFmtId="0" fontId="38" fillId="0" borderId="0" xfId="3" applyFont="1" applyAlignment="1">
      <alignment vertical="center"/>
    </xf>
    <xf numFmtId="0" fontId="40" fillId="8" borderId="0" xfId="3" applyFont="1" applyFill="1" applyBorder="1" applyAlignment="1">
      <alignment horizontal="right"/>
    </xf>
    <xf numFmtId="0" fontId="41" fillId="8" borderId="0" xfId="3" applyFont="1" applyFill="1" applyBorder="1" applyAlignment="1">
      <alignment horizontal="center" vertical="center"/>
    </xf>
    <xf numFmtId="0" fontId="42" fillId="0" borderId="0" xfId="3" applyFont="1" applyAlignment="1">
      <alignment horizontal="center" vertical="center"/>
    </xf>
    <xf numFmtId="0" fontId="40" fillId="0" borderId="0" xfId="3" applyFont="1" applyAlignment="1">
      <alignment vertical="center"/>
    </xf>
    <xf numFmtId="0" fontId="40" fillId="0" borderId="0" xfId="3" applyFont="1" applyAlignment="1">
      <alignment horizontal="center" vertical="center"/>
    </xf>
    <xf numFmtId="0" fontId="41" fillId="0" borderId="0" xfId="2" applyFont="1" applyFill="1" applyBorder="1" applyAlignment="1">
      <alignment horizontal="center" vertical="center" wrapText="1"/>
    </xf>
    <xf numFmtId="0" fontId="40" fillId="0" borderId="0" xfId="5" applyFont="1" applyFill="1" applyBorder="1" applyAlignment="1">
      <alignment horizontal="center" vertical="center"/>
    </xf>
    <xf numFmtId="0" fontId="40" fillId="0" borderId="0" xfId="5" applyFont="1" applyFill="1" applyBorder="1" applyAlignment="1">
      <alignment vertical="center" wrapText="1"/>
    </xf>
    <xf numFmtId="0" fontId="40" fillId="0" borderId="0" xfId="6" applyFont="1" applyFill="1" applyBorder="1" applyAlignment="1">
      <alignment horizontal="center" vertical="center"/>
    </xf>
    <xf numFmtId="0" fontId="40" fillId="0" borderId="0" xfId="6" applyFont="1" applyFill="1" applyBorder="1" applyAlignment="1">
      <alignment vertical="center" wrapText="1"/>
    </xf>
    <xf numFmtId="0" fontId="18" fillId="9" borderId="1" xfId="6" applyFont="1" applyFill="1" applyBorder="1" applyAlignment="1">
      <alignment horizontal="center" vertical="center"/>
    </xf>
    <xf numFmtId="0" fontId="18" fillId="9" borderId="2" xfId="5" applyFont="1" applyFill="1" applyBorder="1" applyAlignment="1">
      <alignment horizontal="center" vertical="center"/>
    </xf>
    <xf numFmtId="0" fontId="23" fillId="9" borderId="2" xfId="5" applyFont="1" applyFill="1" applyBorder="1" applyAlignment="1">
      <alignment horizontal="left" vertical="center" wrapText="1"/>
    </xf>
    <xf numFmtId="2" fontId="18" fillId="9" borderId="2" xfId="1" applyNumberFormat="1" applyFont="1" applyFill="1" applyBorder="1" applyAlignment="1">
      <alignment horizontal="right" vertical="center"/>
    </xf>
    <xf numFmtId="3" fontId="18" fillId="9" borderId="1" xfId="1" applyNumberFormat="1" applyFont="1" applyFill="1" applyBorder="1" applyAlignment="1">
      <alignment horizontal="right" vertical="center"/>
    </xf>
    <xf numFmtId="3" fontId="18" fillId="9" borderId="1" xfId="5" applyNumberFormat="1" applyFont="1" applyFill="1" applyBorder="1" applyAlignment="1">
      <alignment horizontal="right" vertical="center"/>
    </xf>
    <xf numFmtId="0" fontId="18" fillId="9" borderId="3" xfId="5" applyFont="1" applyFill="1" applyBorder="1" applyAlignment="1">
      <alignment horizontal="center" vertical="center"/>
    </xf>
    <xf numFmtId="0" fontId="23" fillId="9" borderId="3" xfId="5" applyFont="1" applyFill="1" applyBorder="1" applyAlignment="1">
      <alignment vertical="center" wrapText="1"/>
    </xf>
    <xf numFmtId="0" fontId="18" fillId="0" borderId="1" xfId="6" applyFont="1" applyFill="1" applyBorder="1" applyAlignment="1">
      <alignment horizontal="center" vertical="center"/>
    </xf>
    <xf numFmtId="0" fontId="23" fillId="0" borderId="1" xfId="6" applyFont="1" applyFill="1" applyBorder="1" applyAlignment="1">
      <alignment vertical="center" wrapText="1"/>
    </xf>
    <xf numFmtId="0" fontId="23" fillId="0" borderId="1" xfId="5" applyFont="1" applyFill="1" applyBorder="1" applyAlignment="1">
      <alignment horizontal="left" vertical="center"/>
    </xf>
    <xf numFmtId="164" fontId="15" fillId="0" borderId="0" xfId="0" applyNumberFormat="1" applyFont="1" applyFill="1" applyBorder="1" applyAlignment="1"/>
    <xf numFmtId="0" fontId="16" fillId="0" borderId="0" xfId="0" applyFont="1" applyAlignment="1"/>
    <xf numFmtId="0" fontId="31" fillId="0" borderId="0" xfId="0" applyFont="1" applyAlignment="1">
      <alignment horizontal="center" wrapText="1"/>
    </xf>
    <xf numFmtId="0" fontId="31" fillId="0" borderId="0" xfId="0" applyFont="1" applyAlignment="1">
      <alignment horizontal="center"/>
    </xf>
    <xf numFmtId="0" fontId="16" fillId="0" borderId="0" xfId="0" applyFont="1" applyAlignment="1">
      <alignment horizontal="center"/>
    </xf>
    <xf numFmtId="0" fontId="23" fillId="0" borderId="0" xfId="3" applyFont="1" applyAlignment="1">
      <alignment horizontal="right"/>
    </xf>
    <xf numFmtId="0" fontId="16" fillId="0" borderId="0" xfId="0" applyFont="1" applyAlignment="1">
      <alignment horizontal="center"/>
    </xf>
    <xf numFmtId="0" fontId="19" fillId="15" borderId="1" xfId="0" applyFont="1" applyFill="1" applyBorder="1" applyProtection="1"/>
    <xf numFmtId="0" fontId="19" fillId="15" borderId="1" xfId="0" applyFont="1" applyFill="1" applyBorder="1" applyAlignment="1" applyProtection="1">
      <alignment horizontal="center"/>
    </xf>
    <xf numFmtId="3" fontId="19" fillId="15" borderId="1" xfId="0" applyNumberFormat="1" applyFont="1" applyFill="1" applyBorder="1" applyAlignment="1" applyProtection="1">
      <alignment horizontal="center"/>
    </xf>
    <xf numFmtId="0" fontId="31" fillId="0" borderId="0" xfId="0" applyFont="1" applyAlignment="1">
      <alignment horizontal="left" vertical="center"/>
    </xf>
    <xf numFmtId="2" fontId="32" fillId="0" borderId="0" xfId="0" applyNumberFormat="1" applyFont="1"/>
    <xf numFmtId="4" fontId="12" fillId="10" borderId="0" xfId="0" applyNumberFormat="1" applyFont="1" applyFill="1"/>
    <xf numFmtId="170" fontId="32" fillId="0" borderId="0" xfId="0" applyNumberFormat="1" applyFont="1"/>
    <xf numFmtId="170" fontId="12" fillId="10" borderId="0" xfId="13" applyNumberFormat="1" applyFont="1" applyFill="1"/>
    <xf numFmtId="170" fontId="12" fillId="10" borderId="0" xfId="0" applyNumberFormat="1" applyFont="1" applyFill="1"/>
    <xf numFmtId="0" fontId="37" fillId="0" borderId="0" xfId="0" applyFont="1" applyAlignment="1">
      <alignment vertical="center"/>
    </xf>
    <xf numFmtId="0" fontId="24" fillId="0" borderId="0" xfId="0" pivotButton="1" applyFont="1" applyAlignment="1">
      <alignment vertical="center"/>
    </xf>
    <xf numFmtId="0" fontId="24" fillId="0" borderId="0" xfId="0" applyFont="1" applyAlignment="1">
      <alignment vertical="center"/>
    </xf>
    <xf numFmtId="2" fontId="40" fillId="0" borderId="0" xfId="5" applyNumberFormat="1" applyFont="1" applyFill="1" applyBorder="1" applyAlignment="1">
      <alignment horizontal="right" vertical="center" wrapText="1"/>
    </xf>
    <xf numFmtId="164" fontId="40" fillId="0" borderId="0" xfId="5" applyNumberFormat="1" applyFont="1" applyFill="1" applyBorder="1" applyAlignment="1">
      <alignment horizontal="right" vertical="center" wrapText="1"/>
    </xf>
    <xf numFmtId="164" fontId="40" fillId="0" borderId="0" xfId="1" applyNumberFormat="1" applyFont="1" applyFill="1" applyBorder="1" applyAlignment="1">
      <alignment horizontal="right" vertical="center"/>
    </xf>
    <xf numFmtId="3" fontId="40" fillId="0" borderId="0" xfId="6" applyNumberFormat="1" applyFont="1" applyFill="1" applyBorder="1" applyAlignment="1">
      <alignment horizontal="right" vertical="center"/>
    </xf>
    <xf numFmtId="5" fontId="40" fillId="0" borderId="0" xfId="13" applyNumberFormat="1" applyFont="1" applyFill="1" applyBorder="1" applyAlignment="1">
      <alignment horizontal="right" vertical="center"/>
    </xf>
    <xf numFmtId="1" fontId="40" fillId="0" borderId="0" xfId="5" applyNumberFormat="1" applyFont="1" applyFill="1" applyBorder="1" applyAlignment="1">
      <alignment horizontal="right" vertical="center" wrapText="1"/>
    </xf>
    <xf numFmtId="3" fontId="40" fillId="0" borderId="0" xfId="5" applyNumberFormat="1" applyFont="1" applyFill="1" applyBorder="1" applyAlignment="1">
      <alignment horizontal="right" vertical="center"/>
    </xf>
    <xf numFmtId="3" fontId="40" fillId="0" borderId="0" xfId="5" applyNumberFormat="1" applyFont="1" applyFill="1" applyBorder="1" applyAlignment="1">
      <alignment horizontal="right" vertical="center" wrapText="1"/>
    </xf>
    <xf numFmtId="0" fontId="31" fillId="0" borderId="0" xfId="0" applyFont="1" applyAlignment="1">
      <alignment horizontal="centerContinuous" vertical="center" wrapText="1"/>
    </xf>
    <xf numFmtId="4" fontId="24" fillId="0" borderId="0" xfId="0" applyNumberFormat="1" applyFont="1" applyAlignment="1"/>
    <xf numFmtId="0" fontId="37" fillId="0" borderId="0" xfId="0" applyFont="1" applyAlignment="1">
      <alignment horizontal="centerContinuous" wrapText="1"/>
    </xf>
    <xf numFmtId="0" fontId="18" fillId="16" borderId="1" xfId="5" applyFont="1" applyFill="1" applyBorder="1" applyAlignment="1">
      <alignment horizontal="center" vertical="center"/>
    </xf>
    <xf numFmtId="0" fontId="23" fillId="16" borderId="1" xfId="5" applyFont="1" applyFill="1" applyBorder="1" applyAlignment="1">
      <alignment vertical="center" wrapText="1"/>
    </xf>
    <xf numFmtId="2" fontId="18" fillId="16" borderId="1" xfId="5" applyNumberFormat="1" applyFont="1" applyFill="1" applyBorder="1" applyAlignment="1">
      <alignment horizontal="right" vertical="center"/>
    </xf>
    <xf numFmtId="0" fontId="23" fillId="9" borderId="1" xfId="5" applyFont="1" applyFill="1" applyBorder="1" applyAlignment="1">
      <alignment horizontal="center" vertical="center"/>
    </xf>
    <xf numFmtId="0" fontId="23" fillId="9" borderId="1" xfId="5" applyFont="1" applyFill="1" applyBorder="1" applyAlignment="1">
      <alignment horizontal="left" vertical="center" wrapText="1"/>
    </xf>
    <xf numFmtId="164" fontId="15" fillId="0" borderId="0" xfId="0" applyNumberFormat="1" applyFont="1" applyFill="1" applyBorder="1" applyAlignment="1">
      <alignment horizontal="center"/>
    </xf>
    <xf numFmtId="0" fontId="16" fillId="0" borderId="0" xfId="0" applyFont="1" applyAlignment="1">
      <alignment horizontal="center"/>
    </xf>
    <xf numFmtId="165" fontId="24" fillId="0" borderId="0" xfId="0" applyNumberFormat="1" applyFont="1"/>
    <xf numFmtId="0" fontId="24" fillId="0" borderId="0" xfId="0" applyFont="1" applyAlignment="1">
      <alignment horizontal="center"/>
    </xf>
    <xf numFmtId="0" fontId="24" fillId="0" borderId="0" xfId="0" pivotButton="1" applyFont="1" applyAlignment="1">
      <alignment wrapText="1"/>
    </xf>
    <xf numFmtId="0" fontId="24" fillId="0" borderId="0" xfId="0" applyFont="1" applyAlignment="1">
      <alignment wrapText="1"/>
    </xf>
    <xf numFmtId="0" fontId="24" fillId="0" borderId="0" xfId="0" applyFont="1" applyAlignment="1">
      <alignment vertical="center" wrapText="1"/>
    </xf>
    <xf numFmtId="0" fontId="4" fillId="0" borderId="0" xfId="0" applyFont="1" applyAlignment="1">
      <alignment horizontal="center"/>
    </xf>
    <xf numFmtId="164" fontId="15" fillId="0" borderId="0" xfId="0" applyNumberFormat="1" applyFont="1" applyFill="1" applyBorder="1" applyAlignment="1">
      <alignment horizontal="center"/>
    </xf>
    <xf numFmtId="0" fontId="16" fillId="0" borderId="0" xfId="0" applyFont="1" applyAlignment="1">
      <alignment horizontal="center"/>
    </xf>
    <xf numFmtId="0" fontId="24" fillId="0" borderId="0" xfId="0" applyFont="1" applyAlignment="1">
      <alignment horizontal="right"/>
    </xf>
    <xf numFmtId="3" fontId="24" fillId="0" borderId="0" xfId="0" applyNumberFormat="1" applyFont="1" applyAlignment="1">
      <alignment horizontal="right"/>
    </xf>
    <xf numFmtId="0" fontId="24" fillId="0" borderId="0" xfId="0" applyNumberFormat="1" applyFont="1" applyAlignment="1">
      <alignment horizontal="right"/>
    </xf>
    <xf numFmtId="164" fontId="24" fillId="0" borderId="0" xfId="0" applyNumberFormat="1" applyFont="1" applyAlignment="1">
      <alignment horizontal="right"/>
    </xf>
    <xf numFmtId="165" fontId="24" fillId="0" borderId="0" xfId="0" applyNumberFormat="1" applyFont="1" applyAlignment="1">
      <alignment horizontal="right"/>
    </xf>
    <xf numFmtId="0" fontId="24" fillId="0" borderId="0" xfId="0" pivotButton="1" applyFont="1" applyAlignment="1">
      <alignment horizontal="center"/>
    </xf>
    <xf numFmtId="0" fontId="18" fillId="0" borderId="2" xfId="6" applyFont="1" applyFill="1" applyBorder="1" applyAlignment="1">
      <alignment horizontal="center" vertical="center"/>
    </xf>
    <xf numFmtId="0" fontId="23" fillId="0" borderId="2" xfId="6" applyFont="1" applyFill="1" applyBorder="1" applyAlignment="1">
      <alignment horizontal="left" vertical="center" wrapText="1"/>
    </xf>
    <xf numFmtId="0" fontId="7" fillId="8" borderId="1" xfId="2" applyFont="1" applyFill="1" applyBorder="1" applyAlignment="1">
      <alignment vertical="center" wrapText="1"/>
    </xf>
    <xf numFmtId="0" fontId="8" fillId="0" borderId="1" xfId="3" applyFont="1" applyBorder="1" applyAlignment="1">
      <alignment horizontal="center"/>
    </xf>
    <xf numFmtId="0" fontId="23" fillId="17" borderId="2" xfId="5" applyFont="1" applyFill="1" applyBorder="1" applyAlignment="1">
      <alignment horizontal="left" vertical="center" wrapText="1"/>
    </xf>
    <xf numFmtId="0" fontId="23" fillId="17" borderId="1" xfId="5" applyFont="1" applyFill="1" applyBorder="1" applyAlignment="1">
      <alignment horizontal="left" vertical="center"/>
    </xf>
    <xf numFmtId="0" fontId="23" fillId="17" borderId="1" xfId="5" applyFont="1" applyFill="1" applyBorder="1" applyAlignment="1">
      <alignment vertical="center" wrapText="1"/>
    </xf>
    <xf numFmtId="0" fontId="23" fillId="17" borderId="1" xfId="5" applyFont="1" applyFill="1" applyBorder="1" applyAlignment="1">
      <alignment horizontal="justify" vertical="center" wrapText="1"/>
    </xf>
    <xf numFmtId="0" fontId="23" fillId="17" borderId="1" xfId="6" applyFont="1" applyFill="1" applyBorder="1" applyAlignment="1">
      <alignment vertical="center" wrapText="1"/>
    </xf>
    <xf numFmtId="165" fontId="18" fillId="17" borderId="1" xfId="5" applyNumberFormat="1" applyFont="1" applyFill="1" applyBorder="1" applyAlignment="1">
      <alignment horizontal="right" vertical="center"/>
    </xf>
    <xf numFmtId="0" fontId="23" fillId="17" borderId="1" xfId="6" applyFont="1" applyFill="1" applyBorder="1" applyAlignment="1">
      <alignment horizontal="left" vertical="center" wrapText="1"/>
    </xf>
    <xf numFmtId="0" fontId="23" fillId="17" borderId="1" xfId="5" applyFont="1" applyFill="1" applyBorder="1" applyAlignment="1">
      <alignment horizontal="left" vertical="center" wrapText="1"/>
    </xf>
    <xf numFmtId="0" fontId="10" fillId="0" borderId="0" xfId="3" applyFont="1"/>
    <xf numFmtId="0" fontId="43" fillId="0" borderId="0" xfId="3" applyFont="1" applyAlignment="1">
      <alignment horizontal="right"/>
    </xf>
    <xf numFmtId="0" fontId="44" fillId="0" borderId="0" xfId="3" applyFont="1" applyAlignment="1">
      <alignment horizontal="right"/>
    </xf>
    <xf numFmtId="0" fontId="10" fillId="0" borderId="0" xfId="3" applyFont="1" applyAlignment="1">
      <alignment vertical="center"/>
    </xf>
    <xf numFmtId="0" fontId="44" fillId="0" borderId="0" xfId="2" applyFont="1" applyFill="1" applyBorder="1" applyAlignment="1">
      <alignment horizontal="center" vertical="center" wrapText="1"/>
    </xf>
    <xf numFmtId="0" fontId="45" fillId="8" borderId="1" xfId="2" applyFont="1" applyFill="1" applyBorder="1" applyAlignment="1">
      <alignment horizontal="center" vertical="center" wrapText="1"/>
    </xf>
    <xf numFmtId="0" fontId="46" fillId="0" borderId="0" xfId="2" applyFont="1" applyFill="1" applyBorder="1" applyAlignment="1">
      <alignment horizontal="center" vertical="center" wrapText="1"/>
    </xf>
    <xf numFmtId="2" fontId="46" fillId="0" borderId="1" xfId="1" applyNumberFormat="1" applyFont="1" applyFill="1" applyBorder="1" applyAlignment="1">
      <alignment horizontal="right" vertical="center"/>
    </xf>
    <xf numFmtId="2" fontId="46" fillId="9" borderId="1" xfId="1" applyNumberFormat="1" applyFont="1" applyFill="1" applyBorder="1" applyAlignment="1">
      <alignment horizontal="right" vertical="center"/>
    </xf>
    <xf numFmtId="1" fontId="46" fillId="9" borderId="1" xfId="1" applyNumberFormat="1" applyFont="1" applyFill="1" applyBorder="1" applyAlignment="1">
      <alignment horizontal="right" vertical="center"/>
    </xf>
    <xf numFmtId="3" fontId="46" fillId="9" borderId="1" xfId="1" applyNumberFormat="1" applyFont="1" applyFill="1" applyBorder="1" applyAlignment="1">
      <alignment horizontal="right" vertical="center"/>
    </xf>
    <xf numFmtId="0" fontId="46" fillId="0" borderId="1" xfId="5" applyFont="1" applyFill="1" applyBorder="1" applyAlignment="1">
      <alignment horizontal="left" vertical="center" wrapText="1"/>
    </xf>
    <xf numFmtId="0" fontId="46" fillId="9" borderId="1" xfId="5" applyFont="1" applyFill="1" applyBorder="1" applyAlignment="1">
      <alignment horizontal="left" vertical="center"/>
    </xf>
    <xf numFmtId="2" fontId="46" fillId="9" borderId="1" xfId="5" applyNumberFormat="1" applyFont="1" applyFill="1" applyBorder="1" applyAlignment="1">
      <alignment horizontal="right" vertical="center"/>
    </xf>
    <xf numFmtId="0" fontId="46" fillId="16" borderId="1" xfId="5" applyFont="1" applyFill="1" applyBorder="1" applyAlignment="1">
      <alignment vertical="center" wrapText="1"/>
    </xf>
    <xf numFmtId="2" fontId="46" fillId="16" borderId="1" xfId="1" applyNumberFormat="1" applyFont="1" applyFill="1" applyBorder="1" applyAlignment="1">
      <alignment horizontal="right" vertical="center"/>
    </xf>
    <xf numFmtId="2" fontId="46" fillId="16" borderId="1" xfId="5" applyNumberFormat="1" applyFont="1" applyFill="1" applyBorder="1" applyAlignment="1">
      <alignment horizontal="right" vertical="center"/>
    </xf>
    <xf numFmtId="0" fontId="46" fillId="9" borderId="1" xfId="6" applyFont="1" applyFill="1" applyBorder="1" applyAlignment="1">
      <alignment vertical="center" wrapText="1"/>
    </xf>
    <xf numFmtId="3" fontId="46" fillId="9" borderId="1" xfId="5" applyNumberFormat="1" applyFont="1" applyFill="1" applyBorder="1" applyAlignment="1">
      <alignment horizontal="right" vertical="center"/>
    </xf>
    <xf numFmtId="0" fontId="46" fillId="0" borderId="1" xfId="5" applyFont="1" applyFill="1" applyBorder="1" applyAlignment="1">
      <alignment horizontal="justify" vertical="center" wrapText="1"/>
    </xf>
    <xf numFmtId="165" fontId="46" fillId="0" borderId="1" xfId="1" applyNumberFormat="1" applyFont="1" applyFill="1" applyBorder="1" applyAlignment="1">
      <alignment horizontal="right" vertical="center"/>
    </xf>
    <xf numFmtId="165" fontId="46" fillId="0" borderId="1" xfId="5" applyNumberFormat="1" applyFont="1" applyFill="1" applyBorder="1" applyAlignment="1">
      <alignment horizontal="right" vertical="center"/>
    </xf>
    <xf numFmtId="0" fontId="46" fillId="9" borderId="1" xfId="5" applyFont="1" applyFill="1" applyBorder="1" applyAlignment="1">
      <alignment vertical="center" wrapText="1"/>
    </xf>
    <xf numFmtId="165" fontId="46" fillId="9" borderId="1" xfId="1" applyNumberFormat="1" applyFont="1" applyFill="1" applyBorder="1" applyAlignment="1">
      <alignment horizontal="right" vertical="center"/>
    </xf>
    <xf numFmtId="165" fontId="46" fillId="9" borderId="1" xfId="5" applyNumberFormat="1" applyFont="1" applyFill="1" applyBorder="1" applyAlignment="1">
      <alignment horizontal="right" vertical="center"/>
    </xf>
    <xf numFmtId="0" fontId="46" fillId="0" borderId="1" xfId="5" applyFont="1" applyFill="1" applyBorder="1" applyAlignment="1">
      <alignment vertical="center" wrapText="1"/>
    </xf>
    <xf numFmtId="164" fontId="46" fillId="0" borderId="1" xfId="1" applyNumberFormat="1" applyFont="1" applyFill="1" applyBorder="1" applyAlignment="1">
      <alignment horizontal="right" vertical="center"/>
    </xf>
    <xf numFmtId="0" fontId="19" fillId="18" borderId="1" xfId="0" applyFont="1" applyFill="1" applyBorder="1" applyProtection="1"/>
    <xf numFmtId="0" fontId="19" fillId="18" borderId="1" xfId="0" applyFont="1" applyFill="1" applyBorder="1" applyAlignment="1" applyProtection="1">
      <alignment horizontal="center"/>
    </xf>
    <xf numFmtId="3" fontId="19" fillId="18" borderId="1" xfId="0" applyNumberFormat="1" applyFont="1" applyFill="1" applyBorder="1" applyAlignment="1" applyProtection="1">
      <alignment horizontal="center"/>
    </xf>
    <xf numFmtId="0" fontId="19" fillId="18" borderId="1" xfId="0" applyNumberFormat="1" applyFont="1" applyFill="1" applyBorder="1" applyAlignment="1" applyProtection="1">
      <alignment horizontal="center"/>
    </xf>
    <xf numFmtId="0" fontId="47" fillId="0" borderId="0" xfId="0" applyFont="1"/>
    <xf numFmtId="0" fontId="34" fillId="0" borderId="0" xfId="0" applyFont="1" applyFill="1" applyBorder="1" applyAlignment="1">
      <alignment horizontal="center" vertical="center"/>
    </xf>
    <xf numFmtId="164" fontId="35" fillId="0" borderId="0" xfId="0" applyNumberFormat="1" applyFont="1" applyFill="1" applyBorder="1" applyAlignment="1">
      <alignment horizontal="center" vertical="center"/>
    </xf>
    <xf numFmtId="0" fontId="8" fillId="0" borderId="0" xfId="3" applyFont="1" applyBorder="1"/>
    <xf numFmtId="0" fontId="18" fillId="0" borderId="0" xfId="3" applyFont="1" applyBorder="1" applyAlignment="1">
      <alignment horizontal="centerContinuous"/>
    </xf>
    <xf numFmtId="0" fontId="18" fillId="0" borderId="0" xfId="3" applyFont="1" applyBorder="1"/>
    <xf numFmtId="0" fontId="31" fillId="0" borderId="0" xfId="0" applyFont="1"/>
    <xf numFmtId="0" fontId="0" fillId="0" borderId="0" xfId="0"/>
    <xf numFmtId="170" fontId="0" fillId="0" borderId="0" xfId="0" applyNumberFormat="1"/>
    <xf numFmtId="0" fontId="31" fillId="0" borderId="0" xfId="0" applyFont="1" applyAlignment="1"/>
    <xf numFmtId="0" fontId="34" fillId="0" borderId="0" xfId="3" applyFont="1" applyBorder="1"/>
    <xf numFmtId="0" fontId="34" fillId="0" borderId="0" xfId="3" applyFont="1"/>
    <xf numFmtId="0" fontId="34" fillId="0" borderId="0" xfId="3" applyFont="1" applyBorder="1" applyAlignment="1">
      <alignment horizontal="center"/>
    </xf>
    <xf numFmtId="3" fontId="19" fillId="19" borderId="1" xfId="0" applyNumberFormat="1" applyFont="1" applyFill="1" applyBorder="1" applyAlignment="1" applyProtection="1">
      <alignment horizontal="center"/>
    </xf>
    <xf numFmtId="0" fontId="16" fillId="0" borderId="0" xfId="0" applyFont="1" applyAlignment="1">
      <alignment horizontal="center"/>
    </xf>
    <xf numFmtId="3" fontId="49" fillId="20" borderId="1" xfId="0" applyNumberFormat="1" applyFont="1" applyFill="1" applyBorder="1" applyAlignment="1" applyProtection="1">
      <alignment horizontal="center" vertical="center" wrapText="1"/>
    </xf>
    <xf numFmtId="0" fontId="49" fillId="20" borderId="1" xfId="0" applyFont="1" applyFill="1" applyBorder="1" applyAlignment="1" applyProtection="1">
      <alignment horizontal="center" vertical="center" wrapText="1"/>
    </xf>
    <xf numFmtId="0" fontId="19" fillId="19" borderId="1" xfId="0" applyFont="1" applyFill="1" applyBorder="1" applyProtection="1"/>
    <xf numFmtId="0" fontId="19" fillId="19" borderId="1" xfId="0" applyFont="1" applyFill="1" applyBorder="1" applyAlignment="1" applyProtection="1">
      <alignment horizontal="center"/>
    </xf>
    <xf numFmtId="0" fontId="24" fillId="0" borderId="0" xfId="0" pivotButton="1" applyFont="1" applyAlignment="1">
      <alignment horizontal="center" vertical="center" wrapText="1"/>
    </xf>
    <xf numFmtId="0" fontId="24" fillId="0" borderId="0" xfId="0" pivotButton="1" applyFont="1" applyAlignment="1">
      <alignment horizontal="center" vertical="center"/>
    </xf>
    <xf numFmtId="164" fontId="0" fillId="0" borderId="0" xfId="0" applyNumberFormat="1" applyFont="1"/>
    <xf numFmtId="9" fontId="0" fillId="0" borderId="0" xfId="1" applyFont="1"/>
    <xf numFmtId="166" fontId="0" fillId="0" borderId="0" xfId="1" applyNumberFormat="1" applyFont="1"/>
    <xf numFmtId="165" fontId="25" fillId="0" borderId="0" xfId="0" applyNumberFormat="1" applyFont="1"/>
    <xf numFmtId="0" fontId="0" fillId="0" borderId="0" xfId="0"/>
    <xf numFmtId="165" fontId="24" fillId="0" borderId="0" xfId="0" applyNumberFormat="1" applyFont="1" applyAlignment="1">
      <alignment horizontal="left" indent="1"/>
    </xf>
    <xf numFmtId="165" fontId="24" fillId="0" borderId="0" xfId="0" applyNumberFormat="1" applyFont="1" applyAlignment="1">
      <alignment horizontal="left"/>
    </xf>
    <xf numFmtId="0" fontId="24" fillId="0" borderId="0" xfId="0" applyFont="1" applyBorder="1"/>
    <xf numFmtId="0" fontId="23" fillId="9" borderId="2" xfId="5" applyFont="1" applyFill="1" applyBorder="1" applyAlignment="1">
      <alignment vertical="center" wrapText="1"/>
    </xf>
    <xf numFmtId="0" fontId="23" fillId="9" borderId="7" xfId="6" applyFont="1" applyFill="1" applyBorder="1" applyAlignment="1">
      <alignment vertical="center" wrapText="1"/>
    </xf>
    <xf numFmtId="0" fontId="18" fillId="9" borderId="7" xfId="6" applyFont="1" applyFill="1" applyBorder="1" applyAlignment="1">
      <alignment horizontal="center" vertical="center"/>
    </xf>
    <xf numFmtId="0" fontId="19" fillId="21" borderId="1" xfId="0" applyFont="1" applyFill="1" applyBorder="1" applyProtection="1"/>
    <xf numFmtId="0" fontId="19" fillId="21" borderId="1" xfId="0" applyFont="1" applyFill="1" applyBorder="1" applyAlignment="1" applyProtection="1">
      <alignment horizontal="center"/>
    </xf>
    <xf numFmtId="3" fontId="19" fillId="21" borderId="1" xfId="0" applyNumberFormat="1" applyFont="1" applyFill="1" applyBorder="1" applyAlignment="1" applyProtection="1">
      <alignment horizontal="center"/>
    </xf>
    <xf numFmtId="0" fontId="19" fillId="0" borderId="0" xfId="0" applyFont="1" applyAlignment="1">
      <alignment vertical="justify" wrapText="1"/>
    </xf>
    <xf numFmtId="0" fontId="12" fillId="10" borderId="0" xfId="2" applyFont="1" applyFill="1" applyBorder="1" applyAlignment="1">
      <alignment vertical="center" readingOrder="1"/>
    </xf>
    <xf numFmtId="0" fontId="28" fillId="0" borderId="0" xfId="0" applyFont="1" applyFill="1" applyAlignment="1">
      <alignment horizontal="center" vertical="center"/>
    </xf>
    <xf numFmtId="0" fontId="19" fillId="0" borderId="0" xfId="0" applyNumberFormat="1" applyFont="1"/>
    <xf numFmtId="4" fontId="25" fillId="22" borderId="9" xfId="0" applyNumberFormat="1" applyFont="1" applyFill="1" applyBorder="1"/>
    <xf numFmtId="4" fontId="24" fillId="0" borderId="10" xfId="0" applyNumberFormat="1" applyFont="1" applyBorder="1"/>
    <xf numFmtId="4" fontId="24" fillId="22" borderId="9" xfId="0" applyNumberFormat="1" applyFont="1" applyFill="1" applyBorder="1"/>
    <xf numFmtId="4" fontId="25" fillId="0" borderId="10" xfId="0" applyNumberFormat="1" applyFont="1" applyBorder="1"/>
    <xf numFmtId="4" fontId="25" fillId="23" borderId="8" xfId="0" applyNumberFormat="1" applyFont="1" applyFill="1" applyBorder="1"/>
    <xf numFmtId="0" fontId="16" fillId="0" borderId="0" xfId="0" applyFont="1" applyAlignment="1">
      <alignment horizontal="center"/>
    </xf>
    <xf numFmtId="0" fontId="25" fillId="0" borderId="12" xfId="0" applyFont="1" applyBorder="1"/>
    <xf numFmtId="0" fontId="25" fillId="0" borderId="11" xfId="0" applyFont="1" applyBorder="1" applyAlignment="1">
      <alignment horizontal="center"/>
    </xf>
    <xf numFmtId="0" fontId="25" fillId="0" borderId="11" xfId="0" applyFont="1" applyBorder="1" applyAlignment="1">
      <alignment horizontal="center" wrapText="1"/>
    </xf>
    <xf numFmtId="2" fontId="25" fillId="22" borderId="9" xfId="0" applyNumberFormat="1" applyFont="1" applyFill="1" applyBorder="1"/>
    <xf numFmtId="2" fontId="24" fillId="0" borderId="10" xfId="0" applyNumberFormat="1" applyFont="1" applyBorder="1"/>
    <xf numFmtId="2" fontId="24" fillId="22" borderId="9" xfId="0" applyNumberFormat="1" applyFont="1" applyFill="1" applyBorder="1"/>
    <xf numFmtId="2" fontId="25" fillId="0" borderId="10" xfId="0" applyNumberFormat="1" applyFont="1" applyBorder="1"/>
    <xf numFmtId="2" fontId="25" fillId="23" borderId="8" xfId="0" applyNumberFormat="1" applyFont="1" applyFill="1" applyBorder="1"/>
    <xf numFmtId="171" fontId="25" fillId="22" borderId="9" xfId="0" applyNumberFormat="1" applyFont="1" applyFill="1" applyBorder="1"/>
    <xf numFmtId="3" fontId="25" fillId="22" borderId="9" xfId="0" applyNumberFormat="1" applyFont="1" applyFill="1" applyBorder="1"/>
    <xf numFmtId="3" fontId="24" fillId="0" borderId="10" xfId="0" applyNumberFormat="1" applyFont="1" applyBorder="1"/>
    <xf numFmtId="3" fontId="24" fillId="22" borderId="9" xfId="0" applyNumberFormat="1" applyFont="1" applyFill="1" applyBorder="1"/>
    <xf numFmtId="3" fontId="25" fillId="0" borderId="10" xfId="0" applyNumberFormat="1" applyFont="1" applyBorder="1"/>
    <xf numFmtId="164" fontId="25" fillId="22" borderId="9" xfId="0" applyNumberFormat="1" applyFont="1" applyFill="1" applyBorder="1"/>
    <xf numFmtId="164" fontId="24" fillId="0" borderId="10" xfId="1" applyNumberFormat="1" applyFont="1" applyBorder="1"/>
    <xf numFmtId="164" fontId="24" fillId="22" borderId="9" xfId="0" applyNumberFormat="1" applyFont="1" applyFill="1" applyBorder="1"/>
    <xf numFmtId="164" fontId="24" fillId="0" borderId="10" xfId="0" applyNumberFormat="1" applyFont="1" applyBorder="1"/>
    <xf numFmtId="164" fontId="25" fillId="0" borderId="10" xfId="0" applyNumberFormat="1" applyFont="1" applyBorder="1"/>
    <xf numFmtId="3" fontId="25" fillId="23" borderId="8" xfId="0" applyNumberFormat="1" applyFont="1" applyFill="1" applyBorder="1"/>
    <xf numFmtId="165" fontId="25" fillId="23" borderId="8" xfId="0" applyNumberFormat="1" applyFont="1" applyFill="1" applyBorder="1"/>
    <xf numFmtId="164" fontId="25" fillId="23" borderId="8" xfId="0" applyNumberFormat="1" applyFont="1" applyFill="1" applyBorder="1"/>
    <xf numFmtId="165" fontId="25" fillId="22" borderId="9" xfId="0" applyNumberFormat="1" applyFont="1" applyFill="1" applyBorder="1"/>
    <xf numFmtId="165" fontId="24" fillId="0" borderId="10" xfId="0" applyNumberFormat="1" applyFont="1" applyBorder="1"/>
    <xf numFmtId="165" fontId="24" fillId="22" borderId="9" xfId="0" applyNumberFormat="1" applyFont="1" applyFill="1" applyBorder="1"/>
    <xf numFmtId="165" fontId="25" fillId="0" borderId="10" xfId="0" applyNumberFormat="1" applyFont="1" applyBorder="1"/>
    <xf numFmtId="1" fontId="24" fillId="22" borderId="9" xfId="0" applyNumberFormat="1" applyFont="1" applyFill="1" applyBorder="1"/>
    <xf numFmtId="1" fontId="25" fillId="0" borderId="10" xfId="0" applyNumberFormat="1" applyFont="1" applyBorder="1"/>
    <xf numFmtId="1" fontId="25" fillId="23" borderId="8" xfId="0" applyNumberFormat="1" applyFont="1" applyFill="1" applyBorder="1"/>
    <xf numFmtId="165" fontId="24" fillId="24" borderId="9" xfId="0" applyNumberFormat="1" applyFont="1" applyFill="1" applyBorder="1"/>
    <xf numFmtId="165" fontId="0" fillId="0" borderId="0" xfId="0" applyNumberFormat="1"/>
    <xf numFmtId="165" fontId="50" fillId="0" borderId="0" xfId="0" applyNumberFormat="1" applyFont="1"/>
    <xf numFmtId="0" fontId="25" fillId="0" borderId="13" xfId="0" applyFont="1" applyBorder="1" applyAlignment="1">
      <alignment horizontal="center" wrapText="1"/>
    </xf>
    <xf numFmtId="164" fontId="18" fillId="9" borderId="1" xfId="1" applyNumberFormat="1" applyFont="1" applyFill="1" applyBorder="1" applyAlignment="1">
      <alignment horizontal="right" vertical="center"/>
    </xf>
    <xf numFmtId="164" fontId="18" fillId="9" borderId="1" xfId="5" applyNumberFormat="1" applyFont="1" applyFill="1" applyBorder="1" applyAlignment="1">
      <alignment horizontal="right" vertical="center"/>
    </xf>
    <xf numFmtId="164" fontId="18" fillId="16" borderId="1" xfId="1" applyNumberFormat="1" applyFont="1" applyFill="1" applyBorder="1" applyAlignment="1">
      <alignment horizontal="right" vertical="center"/>
    </xf>
    <xf numFmtId="164" fontId="18" fillId="16" borderId="1" xfId="5" applyNumberFormat="1" applyFont="1" applyFill="1" applyBorder="1" applyAlignment="1">
      <alignment horizontal="right" vertical="center"/>
    </xf>
    <xf numFmtId="0" fontId="41" fillId="0" borderId="0" xfId="2" applyFont="1" applyFill="1" applyAlignment="1">
      <alignment horizontal="center" vertical="center" wrapText="1"/>
    </xf>
    <xf numFmtId="2" fontId="40" fillId="0" borderId="0" xfId="3" applyNumberFormat="1" applyFont="1" applyFill="1"/>
    <xf numFmtId="164" fontId="40" fillId="0" borderId="0" xfId="3" applyNumberFormat="1" applyFont="1" applyFill="1"/>
    <xf numFmtId="3" fontId="40" fillId="0" borderId="0" xfId="3" applyNumberFormat="1" applyFont="1" applyFill="1"/>
    <xf numFmtId="44" fontId="40" fillId="0" borderId="0" xfId="13" applyFont="1" applyFill="1"/>
    <xf numFmtId="4" fontId="51" fillId="0" borderId="0" xfId="0" applyNumberFormat="1" applyFont="1" applyAlignment="1"/>
    <xf numFmtId="0" fontId="16" fillId="0" borderId="0" xfId="0" applyFont="1" applyAlignment="1">
      <alignment horizontal="center"/>
    </xf>
    <xf numFmtId="3" fontId="24" fillId="8" borderId="10" xfId="0" applyNumberFormat="1" applyFont="1" applyFill="1" applyBorder="1"/>
    <xf numFmtId="0" fontId="25" fillId="0" borderId="0" xfId="0" applyFont="1" applyBorder="1" applyAlignment="1">
      <alignment horizontal="center" wrapText="1"/>
    </xf>
    <xf numFmtId="4" fontId="25" fillId="0" borderId="15" xfId="0" applyNumberFormat="1" applyFont="1" applyBorder="1"/>
    <xf numFmtId="0" fontId="19" fillId="0" borderId="0" xfId="0" applyFont="1"/>
    <xf numFmtId="0" fontId="19" fillId="0" borderId="0" xfId="0" applyFont="1" applyAlignment="1">
      <alignment horizontal="center"/>
    </xf>
    <xf numFmtId="3" fontId="19" fillId="0" borderId="0" xfId="0" applyNumberFormat="1" applyFont="1"/>
    <xf numFmtId="0" fontId="39" fillId="0" borderId="14" xfId="2" applyFont="1" applyFill="1" applyBorder="1" applyAlignment="1">
      <alignment horizontal="center" vertical="center" wrapText="1"/>
    </xf>
    <xf numFmtId="0" fontId="39" fillId="0" borderId="0" xfId="2" applyFont="1" applyFill="1" applyBorder="1" applyAlignment="1">
      <alignment horizontal="center" vertical="center" wrapText="1"/>
    </xf>
    <xf numFmtId="0" fontId="18" fillId="0" borderId="0" xfId="3" applyFont="1" applyAlignment="1">
      <alignment horizontal="justify" vertical="top" wrapText="1"/>
    </xf>
    <xf numFmtId="0" fontId="34" fillId="0" borderId="0" xfId="3" applyFont="1" applyBorder="1" applyAlignment="1">
      <alignment horizontal="center"/>
    </xf>
    <xf numFmtId="0" fontId="34" fillId="0" borderId="0" xfId="3" applyFont="1" applyBorder="1" applyAlignment="1">
      <alignment horizontal="center" wrapText="1"/>
    </xf>
    <xf numFmtId="164" fontId="15" fillId="0" borderId="0" xfId="0" applyNumberFormat="1" applyFont="1" applyFill="1" applyBorder="1" applyAlignment="1">
      <alignment horizontal="center"/>
    </xf>
    <xf numFmtId="0" fontId="16" fillId="0" borderId="0" xfId="0" applyFont="1" applyAlignment="1">
      <alignment horizontal="center"/>
    </xf>
    <xf numFmtId="0" fontId="12" fillId="10" borderId="0" xfId="2" applyFont="1" applyFill="1" applyBorder="1" applyAlignment="1">
      <alignment horizontal="center" vertical="center" readingOrder="1"/>
    </xf>
    <xf numFmtId="0" fontId="31" fillId="0" borderId="0" xfId="0" applyFont="1" applyAlignment="1">
      <alignment horizontal="center" vertical="center" wrapText="1"/>
    </xf>
    <xf numFmtId="0" fontId="31" fillId="0" borderId="0" xfId="0" applyFont="1" applyAlignment="1">
      <alignment horizontal="left" vertical="top" wrapText="1"/>
    </xf>
    <xf numFmtId="0" fontId="31" fillId="0" borderId="0" xfId="0" applyFont="1" applyAlignment="1">
      <alignment horizontal="justify" vertical="top" wrapText="1"/>
    </xf>
    <xf numFmtId="0" fontId="25" fillId="10" borderId="0" xfId="2" applyFont="1" applyFill="1" applyBorder="1" applyAlignment="1">
      <alignment horizontal="center" vertical="center" readingOrder="1"/>
    </xf>
  </cellXfs>
  <cellStyles count="16">
    <cellStyle name="20% - Énfasis1" xfId="6" builtinId="30"/>
    <cellStyle name="Énfasis1" xfId="5" builtinId="29"/>
    <cellStyle name="Énfasis3" xfId="2" builtinId="37"/>
    <cellStyle name="Millares 2" xfId="12" xr:uid="{00000000-0005-0000-0000-000003000000}"/>
    <cellStyle name="Millares 3" xfId="10" xr:uid="{00000000-0005-0000-0000-000004000000}"/>
    <cellStyle name="Millares 4" xfId="14" xr:uid="{00000000-0005-0000-0000-000005000000}"/>
    <cellStyle name="Moneda" xfId="13" builtinId="4"/>
    <cellStyle name="Moneda 2" xfId="11" xr:uid="{00000000-0005-0000-0000-000007000000}"/>
    <cellStyle name="Normal" xfId="0" builtinId="0"/>
    <cellStyle name="Normal 2" xfId="7" xr:uid="{00000000-0005-0000-0000-000009000000}"/>
    <cellStyle name="Normal 3" xfId="15" xr:uid="{00000000-0005-0000-0000-00000A000000}"/>
    <cellStyle name="Normal 3 2" xfId="3" xr:uid="{00000000-0005-0000-0000-00000B000000}"/>
    <cellStyle name="Normal 3 2 2" xfId="8" xr:uid="{00000000-0005-0000-0000-00000C000000}"/>
    <cellStyle name="Porcentaje" xfId="1" builtinId="5"/>
    <cellStyle name="Porcentual 2" xfId="9" xr:uid="{00000000-0005-0000-0000-00000E000000}"/>
    <cellStyle name="Porcentual 4" xfId="4" xr:uid="{00000000-0005-0000-0000-00000F000000}"/>
  </cellStyles>
  <dxfs count="1633">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alignment horizontal="center"/>
    </dxf>
    <dxf>
      <alignment horizontal="general"/>
    </dxf>
    <dxf>
      <alignment vertical="center"/>
    </dxf>
    <dxf>
      <numFmt numFmtId="2" formatCode="0.00"/>
    </dxf>
    <dxf>
      <numFmt numFmtId="170" formatCode="&quot;$&quot;#,##0.00"/>
    </dxf>
    <dxf>
      <numFmt numFmtId="170" formatCode="&quot;$&quot;#,##0.00"/>
    </dxf>
    <dxf>
      <alignment horizontal="center" readingOrder="0"/>
    </dxf>
    <dxf>
      <alignment wrapText="1" readingOrder="0"/>
    </dxf>
    <dxf>
      <numFmt numFmtId="167" formatCode="_-&quot;$&quot;* #,##0.0_-;\-&quot;$&quot;* #,##0.0_-;_-&quot;$&quot;* &quot;-&quot;?_-;_-@_-"/>
    </dxf>
    <dxf>
      <numFmt numFmtId="167" formatCode="_-&quot;$&quot;* #,##0.0_-;\-&quot;$&quot;* #,##0.0_-;_-&quot;$&quot;* &quot;-&quot;?_-;_-@_-"/>
    </dxf>
    <dxf>
      <alignment wrapText="1" readingOrder="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alignment horizontal="center" readingOrder="0"/>
    </dxf>
    <dxf>
      <alignment wrapText="1" readingOrder="0"/>
    </dxf>
    <dxf>
      <numFmt numFmtId="168" formatCode="0.0_ ;\-0.0\ "/>
    </dxf>
    <dxf>
      <numFmt numFmtId="167" formatCode="_-&quot;$&quot;* #,##0.0_-;\-&quot;$&quot;* #,##0.0_-;_-&quot;$&quot;* &quot;-&quot;?_-;_-@_-"/>
    </dxf>
    <dxf>
      <numFmt numFmtId="167" formatCode="_-&quot;$&quot;* #,##0.0_-;\-&quot;$&quot;* #,##0.0_-;_-&quot;$&quot;* &quot;-&quot;?_-;_-@_-"/>
    </dxf>
    <dxf>
      <alignment wrapText="1" readingOrder="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alignment horizontal="center" readingOrder="0"/>
    </dxf>
    <dxf>
      <alignment wrapText="1" readingOrder="0"/>
    </dxf>
    <dxf>
      <alignment wrapText="1" readingOrder="0"/>
    </dxf>
    <dxf>
      <numFmt numFmtId="168" formatCode="0.0_ ;\-0.0\ "/>
    </dxf>
    <dxf>
      <numFmt numFmtId="167" formatCode="_-&quot;$&quot;* #,##0.0_-;\-&quot;$&quot;* #,##0.0_-;_-&quot;$&quot;* &quot;-&quot;?_-;_-@_-"/>
    </dxf>
    <dxf>
      <numFmt numFmtId="167" formatCode="_-&quot;$&quot;* #,##0.0_-;\-&quot;$&quot;* #,##0.0_-;_-&quot;$&quot;* &quot;-&quot;?_-;_-@_-"/>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alignment vertical="center" readingOrder="0"/>
    </dxf>
    <dxf>
      <alignment horizontal="center" readingOrder="0"/>
    </dxf>
    <dxf>
      <alignment wrapText="1" readingOrder="0"/>
    </dxf>
    <dxf>
      <numFmt numFmtId="168" formatCode="0.0_ ;\-0.0\ "/>
    </dxf>
    <dxf>
      <numFmt numFmtId="167" formatCode="_-&quot;$&quot;* #,##0.0_-;\-&quot;$&quot;* #,##0.0_-;_-&quot;$&quot;* &quot;-&quot;?_-;_-@_-"/>
    </dxf>
    <dxf>
      <numFmt numFmtId="167" formatCode="_-&quot;$&quot;* #,##0.0_-;\-&quot;$&quot;* #,##0.0_-;_-&quot;$&quot;* &quot;-&quot;?_-;_-@_-"/>
    </dxf>
    <dxf>
      <numFmt numFmtId="164" formatCode="0.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font>
        <sz val="9"/>
      </font>
    </dxf>
    <dxf>
      <alignment horizontal="center" readingOrder="0"/>
    </dxf>
    <dxf>
      <alignment vertical="center" readingOrder="0"/>
    </dxf>
    <dxf>
      <alignment wrapText="1" readingOrder="0"/>
    </dxf>
    <dxf>
      <numFmt numFmtId="167" formatCode="_-&quot;$&quot;* #,##0.0_-;\-&quot;$&quot;* #,##0.0_-;_-&quot;$&quot;* &quot;-&quot;?_-;_-@_-"/>
    </dxf>
    <dxf>
      <numFmt numFmtId="167" formatCode="_-&quot;$&quot;* #,##0.0_-;\-&quot;$&quot;* #,##0.0_-;_-&quot;$&quot;* &quot;-&quot;?_-;_-@_-"/>
    </dxf>
    <dxf>
      <numFmt numFmtId="164" formatCode="0.0"/>
    </dxf>
    <dxf>
      <font>
        <sz val="9"/>
      </font>
    </dxf>
    <dxf>
      <alignment vertical="center" readingOrder="0"/>
    </dxf>
    <dxf>
      <alignment vertical="bottom" readingOrder="0"/>
    </dxf>
    <dxf>
      <alignment wrapText="0" readingOrder="0"/>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font>
        <sz val="9"/>
      </font>
    </dxf>
    <dxf>
      <font>
        <sz val="9"/>
      </font>
    </dxf>
    <dxf>
      <alignment horizontal="center" readingOrder="0"/>
    </dxf>
    <dxf>
      <alignment vertical="center" readingOrder="0"/>
    </dxf>
    <dxf>
      <alignment vertical="center" readingOrder="0"/>
    </dxf>
    <dxf>
      <alignment vertical="bottom" readingOrder="0"/>
    </dxf>
    <dxf>
      <alignment vertical="bottom" readingOrder="0"/>
    </dxf>
    <dxf>
      <alignment wrapText="1" readingOrder="0"/>
    </dxf>
    <dxf>
      <alignment wrapText="1" readingOrder="0"/>
    </dxf>
    <dxf>
      <alignment wrapText="1" readingOrder="0"/>
    </dxf>
    <dxf>
      <alignment wrapText="0" readingOrder="0"/>
    </dxf>
    <dxf>
      <alignment wrapText="0" readingOrder="0"/>
    </dxf>
    <dxf>
      <numFmt numFmtId="167" formatCode="_-&quot;$&quot;* #,##0.0_-;\-&quot;$&quot;* #,##0.0_-;_-&quot;$&quot;* &quot;-&quot;?_-;_-@_-"/>
    </dxf>
    <dxf>
      <numFmt numFmtId="167" formatCode="_-&quot;$&quot;* #,##0.0_-;\-&quot;$&quot;* #,##0.0_-;_-&quot;$&quot;* &quot;-&quot;?_-;_-@_-"/>
    </dxf>
    <dxf>
      <numFmt numFmtId="168" formatCode="0.0_ ;\-0.0\ "/>
    </dxf>
    <dxf>
      <alignment horizontal="center" indent="0" readingOrder="0"/>
    </dxf>
    <dxf>
      <font>
        <sz val="10"/>
      </font>
    </dxf>
    <dxf>
      <font>
        <sz val="10"/>
      </font>
    </dxf>
    <dxf>
      <font>
        <sz val="10"/>
      </font>
    </dxf>
    <dxf>
      <font>
        <sz val="10"/>
      </font>
    </dxf>
    <dxf>
      <font>
        <sz val="10"/>
      </font>
    </dxf>
    <dxf>
      <alignment horizontal="center" readingOrder="0"/>
    </dxf>
    <dxf>
      <alignment vertical="center" readingOrder="0"/>
    </dxf>
    <dxf>
      <alignment wrapText="1" readingOrder="0"/>
    </dxf>
    <dxf>
      <font>
        <color auto="1"/>
      </font>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70" formatCode="&quot;$&quot;#,##0.00"/>
    </dxf>
    <dxf>
      <numFmt numFmtId="170" formatCode="&quot;$&quot;#,##0.00"/>
    </dxf>
    <dxf>
      <font>
        <sz val="9"/>
      </font>
    </dxf>
    <dxf>
      <font>
        <sz val="9"/>
      </font>
    </dxf>
    <dxf>
      <alignment horizontal="center" indent="0" readingOrder="0"/>
    </dxf>
    <dxf>
      <numFmt numFmtId="167" formatCode="_-&quot;$&quot;* #,##0.0_-;\-&quot;$&quot;* #,##0.0_-;_-&quot;$&quot;* &quot;-&quot;?_-;_-@_-"/>
    </dxf>
    <dxf>
      <numFmt numFmtId="167" formatCode="_-&quot;$&quot;* #,##0.0_-;\-&quot;$&quot;* #,##0.0_-;_-&quot;$&quot;* &quot;-&quot;?_-;_-@_-"/>
    </dxf>
    <dxf>
      <font>
        <b/>
      </font>
    </dxf>
    <dxf>
      <alignment horizontal="right" readingOrder="0"/>
    </dxf>
    <dxf>
      <alignment horizontal="center" readingOrder="0"/>
    </dxf>
    <dxf>
      <font>
        <sz val="10"/>
      </font>
    </dxf>
    <dxf>
      <font>
        <sz val="10"/>
      </font>
    </dxf>
    <dxf>
      <font>
        <sz val="10"/>
      </font>
    </dxf>
    <dxf>
      <font>
        <sz val="10"/>
      </font>
    </dxf>
    <dxf>
      <font>
        <sz val="10"/>
      </font>
    </dxf>
    <dxf>
      <font>
        <sz val="10"/>
      </font>
    </dxf>
    <dxf>
      <alignment horizontal="right"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font>
        <color auto="1"/>
      </font>
    </dxf>
    <dxf>
      <numFmt numFmtId="165" formatCode="#,##0.0"/>
    </dxf>
    <dxf>
      <numFmt numFmtId="165" formatCode="#,##0.0"/>
    </dxf>
    <dxf>
      <font>
        <color theme="0"/>
      </font>
    </dxf>
    <dxf>
      <font>
        <color theme="0"/>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color theme="0"/>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9847407452621"/>
      </font>
    </dxf>
    <dxf>
      <font>
        <color theme="0"/>
      </font>
    </dxf>
    <dxf>
      <numFmt numFmtId="3"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b/>
      </font>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9847407452621"/>
      </font>
    </dxf>
    <dxf>
      <font>
        <color theme="0"/>
      </font>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alignment vertical="center" readingOrder="0"/>
    </dxf>
    <dxf>
      <alignment vertical="center" readingOrder="0"/>
    </dxf>
    <dxf>
      <numFmt numFmtId="3"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alignment horizontal="right"/>
    </dxf>
    <dxf>
      <font>
        <color auto="1"/>
      </font>
    </dxf>
    <dxf>
      <font>
        <color auto="1"/>
      </font>
    </dxf>
    <dxf>
      <font>
        <color auto="1"/>
      </font>
    </dxf>
    <dxf>
      <font>
        <color auto="1"/>
      </font>
    </dxf>
    <dxf>
      <font>
        <color auto="1"/>
      </font>
    </dxf>
    <dxf>
      <numFmt numFmtId="3" formatCode="#,##0"/>
    </dxf>
    <dxf>
      <font>
        <color theme="0"/>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9847407452621"/>
      </font>
    </dxf>
    <dxf>
      <font>
        <color theme="0"/>
      </font>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164" formatCode="0.0"/>
    </dxf>
    <dxf>
      <numFmt numFmtId="164" formatCode="0.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164" formatCode="0.0"/>
    </dxf>
    <dxf>
      <numFmt numFmtId="164" formatCode="0.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164" formatCode="0.0"/>
    </dxf>
    <dxf>
      <numFmt numFmtId="164" formatCode="0.0"/>
    </dxf>
    <dxf>
      <numFmt numFmtId="164" formatCode="0.0"/>
    </dxf>
    <dxf>
      <numFmt numFmtId="1"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b/>
      </font>
    </dxf>
    <dxf>
      <numFmt numFmtId="3" formatCode="#,##0"/>
    </dxf>
    <dxf>
      <numFmt numFmtId="165"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alignment horizontal="right"/>
    </dxf>
    <dxf>
      <alignment horizontal="right"/>
    </dxf>
    <dxf>
      <alignment horizontal="right"/>
    </dxf>
    <dxf>
      <alignment horizontal="right"/>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164" formatCode="0.0"/>
    </dxf>
    <dxf>
      <numFmt numFmtId="2" formatCode="0.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b/>
      </font>
    </dxf>
    <dxf>
      <numFmt numFmtId="3" formatCode="#,##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2" formatCode="0.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numFmt numFmtId="4" formatCode="#,##0.00"/>
    </dxf>
    <dxf>
      <font>
        <b/>
      </font>
    </dxf>
    <dxf>
      <font>
        <b val="0"/>
      </font>
    </dxf>
    <dxf>
      <font>
        <b/>
      </font>
    </dxf>
    <dxf>
      <font>
        <color theme="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9"/>
        <color indexed="8"/>
        <name val="Montserrat"/>
        <scheme val="none"/>
      </font>
      <numFmt numFmtId="2" formatCode="0.00"/>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alignment horizontal="center"/>
    </dxf>
    <dxf>
      <font>
        <sz val="9"/>
      </font>
    </dxf>
    <dxf>
      <font>
        <sz val="9"/>
      </font>
    </dxf>
    <dxf>
      <font>
        <sz val="9"/>
      </font>
    </dxf>
    <dxf>
      <font>
        <sz val="9"/>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font>
    </dxf>
    <dxf>
      <font>
        <b val="0"/>
      </font>
    </dxf>
    <dxf>
      <font>
        <b/>
      </font>
    </dxf>
    <dxf>
      <font>
        <color theme="0"/>
      </font>
    </dxf>
    <dxf>
      <numFmt numFmtId="4" formatCode="#,##0.0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alignment horizontal="center" readingOrder="0"/>
    </dxf>
    <dxf>
      <alignment horizontal="right" readingOrder="0"/>
    </dxf>
    <dxf>
      <alignment horizontal="right"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numFmt numFmtId="164" formatCode="0.0"/>
    </dxf>
    <dxf>
      <numFmt numFmtId="2" formatCode="0.00"/>
    </dxf>
    <dxf>
      <numFmt numFmtId="172" formatCode="0.000"/>
    </dxf>
    <dxf>
      <numFmt numFmtId="171" formatCode="0.0000"/>
    </dxf>
    <dxf>
      <numFmt numFmtId="173" formatCode="0.00000"/>
    </dxf>
    <dxf>
      <numFmt numFmtId="174" formatCode="0.000000"/>
    </dxf>
    <dxf>
      <numFmt numFmtId="175" formatCode="0.0000000"/>
    </dxf>
    <dxf>
      <numFmt numFmtId="176" formatCode="0.00000000"/>
    </dxf>
    <dxf>
      <numFmt numFmtId="177" formatCode="0.000000000"/>
    </dxf>
    <dxf>
      <numFmt numFmtId="165" formatCode="#,##0.0"/>
    </dxf>
    <dxf>
      <numFmt numFmtId="165" formatCode="#,##0.0"/>
    </dxf>
    <dxf>
      <numFmt numFmtId="164" formatCode="0.0"/>
    </dxf>
    <dxf>
      <numFmt numFmtId="1" formatCode="0"/>
    </dxf>
    <dxf>
      <numFmt numFmtId="164" formatCode="0.0"/>
    </dxf>
    <dxf>
      <numFmt numFmtId="2" formatCode="0.00"/>
    </dxf>
    <dxf>
      <numFmt numFmtId="172" formatCode="0.000"/>
    </dxf>
    <dxf>
      <numFmt numFmtId="171" formatCode="0.0000"/>
    </dxf>
    <dxf>
      <numFmt numFmtId="173" formatCode="0.00000"/>
    </dxf>
    <dxf>
      <numFmt numFmtId="174" formatCode="0.000000"/>
    </dxf>
    <dxf>
      <numFmt numFmtId="175" formatCode="0.0000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64" formatCode="0.0"/>
    </dxf>
    <dxf>
      <numFmt numFmtId="164" formatCode="0.0"/>
    </dxf>
    <dxf>
      <numFmt numFmtId="3" formatCode="#,##0"/>
    </dxf>
    <dxf>
      <numFmt numFmtId="3" formatCode="#,##0"/>
    </dxf>
    <dxf>
      <numFmt numFmtId="3" formatCode="#,##0"/>
    </dxf>
    <dxf>
      <numFmt numFmtId="165" formatCode="#,##0.0"/>
    </dxf>
    <dxf>
      <alignment horizontal="center" readingOrder="0"/>
    </dxf>
    <dxf>
      <alignment horizontal="center" readingOrder="0"/>
    </dxf>
    <dxf>
      <alignment horizontal="general" readingOrder="0"/>
    </dxf>
    <dxf>
      <alignment horizontal="general" readingOrder="0"/>
    </dxf>
    <dxf>
      <font>
        <sz val="8"/>
      </font>
    </dxf>
    <dxf>
      <font>
        <sz val="8"/>
      </font>
    </dxf>
    <dxf>
      <font>
        <sz val="8"/>
      </font>
    </dxf>
    <dxf>
      <font>
        <sz val="8"/>
      </font>
    </dxf>
    <dxf>
      <font>
        <sz val="8"/>
      </font>
    </dxf>
    <dxf>
      <numFmt numFmtId="169" formatCode="&quot;$&quot;#,##0.0"/>
    </dxf>
    <dxf>
      <numFmt numFmtId="164" formatCode="0.0"/>
    </dxf>
    <dxf>
      <alignment horizontal="center" readingOrder="0"/>
    </dxf>
    <dxf>
      <alignment horizontal="center" readingOrder="0"/>
    </dxf>
    <dxf>
      <numFmt numFmtId="164" formatCode="0.0"/>
    </dxf>
    <dxf>
      <alignment horizontal="center" readingOrder="0"/>
    </dxf>
    <dxf>
      <alignment horizontal="general" readingOrder="0"/>
    </dxf>
    <dxf>
      <numFmt numFmtId="164" formatCode="0.0"/>
    </dxf>
    <dxf>
      <numFmt numFmtId="2" formatCode="0.00"/>
    </dxf>
    <dxf>
      <numFmt numFmtId="3" formatCode="#,##0"/>
    </dxf>
    <dxf>
      <numFmt numFmtId="2" formatCode="0.00"/>
    </dxf>
    <dxf>
      <alignment horizontal="left" readingOrder="0"/>
    </dxf>
    <dxf>
      <alignment horizontal="center" readingOrder="0"/>
    </dxf>
    <dxf>
      <alignment horizontal="center" readingOrder="0"/>
    </dxf>
    <dxf>
      <numFmt numFmtId="2" formatCode="0.00"/>
    </dxf>
    <dxf>
      <numFmt numFmtId="4" formatCode="#,##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strike val="0"/>
        <outline val="0"/>
        <shadow val="0"/>
        <u val="none"/>
        <vertAlign val="baseline"/>
        <sz val="10"/>
        <name val="Montserrat SemiBold"/>
        <scheme val="none"/>
      </font>
    </dxf>
    <dxf>
      <font>
        <strike val="0"/>
        <outline val="0"/>
        <shadow val="0"/>
        <u val="none"/>
        <vertAlign val="baseline"/>
        <sz val="10"/>
        <color auto="1"/>
        <name val="Montserrat SemiBold"/>
        <scheme val="none"/>
      </font>
      <numFmt numFmtId="2" formatCode="0.00"/>
      <fill>
        <patternFill patternType="none">
          <fgColor indexed="64"/>
          <bgColor indexed="65"/>
        </patternFill>
      </fill>
    </dxf>
    <dxf>
      <font>
        <strike val="0"/>
        <outline val="0"/>
        <shadow val="0"/>
        <u val="none"/>
        <vertAlign val="baseline"/>
        <sz val="10"/>
        <name val="Montserrat SemiBold"/>
        <scheme val="none"/>
      </font>
      <numFmt numFmtId="2" formatCode="0.00"/>
    </dxf>
    <dxf>
      <alignment horizontal="right" vertical="center" textRotation="0" indent="0" justifyLastLine="0" shrinkToFit="0" readingOrder="0"/>
    </dxf>
    <dxf>
      <font>
        <strike val="0"/>
        <outline val="0"/>
        <shadow val="0"/>
        <u val="none"/>
        <vertAlign val="baseline"/>
        <sz val="10"/>
        <name val="Montserrat SemiBold"/>
        <scheme val="none"/>
      </font>
      <alignment horizontal="right" vertical="center" textRotation="0" indent="0" justifyLastLine="0" shrinkToFit="0" readingOrder="0"/>
    </dxf>
    <dxf>
      <font>
        <b val="0"/>
        <i val="0"/>
        <strike val="0"/>
        <condense val="0"/>
        <extend val="0"/>
        <outline val="0"/>
        <shadow val="0"/>
        <u val="none"/>
        <vertAlign val="baseline"/>
        <sz val="10"/>
        <color auto="1"/>
        <name val="Montserrat SemiBold"/>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Montserrat SemiBold"/>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name val="Montserrat SemiBold"/>
        <scheme val="none"/>
      </font>
    </dxf>
    <dxf>
      <font>
        <b/>
        <i val="0"/>
        <strike val="0"/>
        <condense val="0"/>
        <extend val="0"/>
        <outline val="0"/>
        <shadow val="0"/>
        <u val="none"/>
        <vertAlign val="baseline"/>
        <sz val="10"/>
        <color auto="1"/>
        <name val="Montserrat SemiBold"/>
        <scheme val="none"/>
      </font>
      <fill>
        <patternFill patternType="none">
          <fgColor indexed="64"/>
          <bgColor indexed="65"/>
        </patternFill>
      </fill>
      <alignment horizontal="center" vertical="center" textRotation="0" wrapText="1" indent="0" justifyLastLine="0" shrinkToFit="0" readingOrder="0"/>
    </dxf>
    <dxf>
      <numFmt numFmtId="165" formatCode="#,##0.0"/>
    </dxf>
    <dxf>
      <alignment vertical="center" readingOrder="0"/>
    </dxf>
    <dxf>
      <alignment wrapText="1" readingOrder="0"/>
    </dxf>
    <dxf>
      <numFmt numFmtId="1" formatCode="0"/>
    </dxf>
    <dxf>
      <numFmt numFmtId="164" formatCode="0.0"/>
    </dxf>
    <dxf>
      <numFmt numFmtId="2" formatCode="0.00"/>
    </dxf>
    <dxf>
      <numFmt numFmtId="172" formatCode="0.000"/>
    </dxf>
    <dxf>
      <numFmt numFmtId="171" formatCode="0.0000"/>
    </dxf>
    <dxf>
      <numFmt numFmtId="173" formatCode="0.00000"/>
    </dxf>
    <dxf>
      <numFmt numFmtId="174" formatCode="0.000000"/>
    </dxf>
    <dxf>
      <numFmt numFmtId="175" formatCode="0.0000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alignment vertical="center" readingOrder="0"/>
    </dxf>
    <dxf>
      <alignment horizontal="center" readingOrder="0"/>
    </dxf>
    <dxf>
      <alignment wrapText="1" readingOrder="0"/>
    </dxf>
    <dxf>
      <alignment wrapText="1" readingOrder="0"/>
    </dxf>
    <dxf>
      <numFmt numFmtId="164" formatCode="0.0"/>
    </dxf>
    <dxf>
      <numFmt numFmtId="2" formatCode="0.00"/>
    </dxf>
    <dxf>
      <numFmt numFmtId="172" formatCode="0.000"/>
    </dxf>
    <dxf>
      <numFmt numFmtId="171" formatCode="0.0000"/>
    </dxf>
    <dxf>
      <numFmt numFmtId="173" formatCode="0.00000"/>
    </dxf>
    <dxf>
      <numFmt numFmtId="174" formatCode="0.000000"/>
    </dxf>
    <dxf>
      <numFmt numFmtId="175" formatCode="0.0000000"/>
    </dxf>
    <dxf>
      <numFmt numFmtId="176" formatCode="0.00000000"/>
    </dxf>
    <dxf>
      <numFmt numFmtId="177" formatCode="0.000000000"/>
    </dxf>
    <dxf>
      <numFmt numFmtId="165" formatCode="#,##0.0"/>
    </dxf>
    <dxf>
      <numFmt numFmtId="165" formatCode="#,##0.0"/>
    </dxf>
    <dxf>
      <numFmt numFmtId="164" formatCode="0.0"/>
    </dxf>
    <dxf>
      <numFmt numFmtId="1" formatCode="0"/>
    </dxf>
    <dxf>
      <numFmt numFmtId="164" formatCode="0.0"/>
    </dxf>
    <dxf>
      <numFmt numFmtId="2" formatCode="0.00"/>
    </dxf>
    <dxf>
      <numFmt numFmtId="172" formatCode="0.000"/>
    </dxf>
    <dxf>
      <numFmt numFmtId="171" formatCode="0.0000"/>
    </dxf>
    <dxf>
      <numFmt numFmtId="173" formatCode="0.00000"/>
    </dxf>
    <dxf>
      <numFmt numFmtId="174" formatCode="0.000000"/>
    </dxf>
    <dxf>
      <numFmt numFmtId="175" formatCode="0.0000000"/>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color theme="0"/>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1.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3.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2.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28777972615513E-2"/>
          <c:y val="0.10476213868927944"/>
          <c:w val="0.92747248354308076"/>
          <c:h val="0.69125384326959127"/>
        </c:manualLayout>
      </c:layout>
      <c:lineChart>
        <c:grouping val="standard"/>
        <c:varyColors val="0"/>
        <c:ser>
          <c:idx val="1"/>
          <c:order val="0"/>
          <c:tx>
            <c:strRef>
              <c:f>cobertura!$A$5</c:f>
              <c:strCache>
                <c:ptCount val="1"/>
                <c:pt idx="0">
                  <c:v>COBERTURA EN EL GRUPO DE EDAD DE LA EDUCACIÓN MEDIA SUPERIOR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1-1FF6-4594-8269-FA985EB86350}"/>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3-1FF6-4594-8269-FA985EB86350}"/>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5-1FF6-4594-8269-FA985EB86350}"/>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7-1FF6-4594-8269-FA985EB86350}"/>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9-1FF6-4594-8269-FA985EB86350}"/>
              </c:ext>
            </c:extLst>
          </c:dPt>
          <c:dLbls>
            <c:spPr>
              <a:noFill/>
              <a:ln>
                <a:noFill/>
              </a:ln>
              <a:effectLst/>
            </c:spPr>
            <c:txPr>
              <a:bodyPr rot="0" spcFirstLastPara="1" vertOverflow="ellipsis" vert="horz" wrap="square" anchor="ctr" anchorCtr="1"/>
              <a:lstStyle/>
              <a:p>
                <a:pPr>
                  <a:defRPr sz="7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cobertura!$A$8:$A$12</c:f>
              <c:numCache>
                <c:formatCode>General</c:formatCode>
                <c:ptCount val="5"/>
                <c:pt idx="0">
                  <c:v>2018</c:v>
                </c:pt>
                <c:pt idx="1">
                  <c:v>2019</c:v>
                </c:pt>
                <c:pt idx="2">
                  <c:v>2020</c:v>
                </c:pt>
                <c:pt idx="3">
                  <c:v>2021</c:v>
                </c:pt>
                <c:pt idx="4">
                  <c:v>2022</c:v>
                </c:pt>
              </c:numCache>
            </c:numRef>
          </c:cat>
          <c:val>
            <c:numRef>
              <c:f>cobertura!$B$8:$B$12</c:f>
              <c:numCache>
                <c:formatCode>0.00</c:formatCode>
                <c:ptCount val="5"/>
                <c:pt idx="0">
                  <c:v>3.8587193062876439</c:v>
                </c:pt>
                <c:pt idx="1">
                  <c:v>3.9511727674392016</c:v>
                </c:pt>
                <c:pt idx="2">
                  <c:v>4.0736959630258669</c:v>
                </c:pt>
                <c:pt idx="3">
                  <c:v>4.0729883835106735</c:v>
                </c:pt>
                <c:pt idx="4">
                  <c:v>4.29170870344094</c:v>
                </c:pt>
              </c:numCache>
            </c:numRef>
          </c:val>
          <c:smooth val="1"/>
          <c:extLst>
            <c:ext xmlns:c16="http://schemas.microsoft.com/office/drawing/2014/chart" uri="{C3380CC4-5D6E-409C-BE32-E72D297353CC}">
              <c16:uniqueId val="{0000000C-1FF6-4594-8269-FA985EB86350}"/>
            </c:ext>
          </c:extLst>
        </c:ser>
        <c:dLbls>
          <c:dLblPos val="ctr"/>
          <c:showLegendKey val="0"/>
          <c:showVal val="1"/>
          <c:showCatName val="0"/>
          <c:showSerName val="0"/>
          <c:showPercent val="0"/>
          <c:showBubbleSize val="0"/>
        </c:dLbls>
        <c:marker val="1"/>
        <c:smooth val="0"/>
        <c:axId val="-1585916800"/>
        <c:axId val="-1585916256"/>
      </c:lineChart>
      <c:catAx>
        <c:axId val="-1585916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16256"/>
        <c:crosses val="autoZero"/>
        <c:auto val="1"/>
        <c:lblAlgn val="ctr"/>
        <c:lblOffset val="100"/>
        <c:noMultiLvlLbl val="0"/>
      </c:catAx>
      <c:valAx>
        <c:axId val="-1585916256"/>
        <c:scaling>
          <c:orientation val="minMax"/>
        </c:scaling>
        <c:delete val="1"/>
        <c:axPos val="l"/>
        <c:numFmt formatCode="0.0" sourceLinked="0"/>
        <c:majorTickMark val="none"/>
        <c:minorTickMark val="none"/>
        <c:tickLblPos val="nextTo"/>
        <c:crossAx val="-158591680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4803149606299213" l="0.70866141732283472" r="0.70866141732283472" t="0.74803149606299213" header="0.31496062992125984" footer="0.31496062992125984"/>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titulacion!$A$5</c:f>
              <c:strCache>
                <c:ptCount val="1"/>
                <c:pt idx="0">
                  <c:v>TITULACIÓN POR GENERACIÓN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60F5-4167-8208-8D842B41FDB2}"/>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60F5-4167-8208-8D842B41FDB2}"/>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60F5-4167-8208-8D842B41FDB2}"/>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60F5-4167-8208-8D842B41FDB2}"/>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60F5-4167-8208-8D842B41FDB2}"/>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titulacion!$A$8:$A$12</c:f>
              <c:numCache>
                <c:formatCode>General</c:formatCode>
                <c:ptCount val="5"/>
                <c:pt idx="0">
                  <c:v>2018</c:v>
                </c:pt>
                <c:pt idx="1">
                  <c:v>2019</c:v>
                </c:pt>
                <c:pt idx="2">
                  <c:v>2020</c:v>
                </c:pt>
                <c:pt idx="3">
                  <c:v>2021</c:v>
                </c:pt>
                <c:pt idx="4">
                  <c:v>2022</c:v>
                </c:pt>
              </c:numCache>
            </c:numRef>
          </c:cat>
          <c:val>
            <c:numRef>
              <c:f>titulacion!$B$8:$B$12</c:f>
              <c:numCache>
                <c:formatCode>0.0</c:formatCode>
                <c:ptCount val="5"/>
                <c:pt idx="0">
                  <c:v>84.02268009922544</c:v>
                </c:pt>
                <c:pt idx="1">
                  <c:v>84.709180098107922</c:v>
                </c:pt>
                <c:pt idx="2">
                  <c:v>83.143353656740587</c:v>
                </c:pt>
                <c:pt idx="3">
                  <c:v>81.468016114768588</c:v>
                </c:pt>
                <c:pt idx="4">
                  <c:v>80.885759845954809</c:v>
                </c:pt>
              </c:numCache>
            </c:numRef>
          </c:val>
          <c:smooth val="1"/>
          <c:extLst>
            <c:ext xmlns:c16="http://schemas.microsoft.com/office/drawing/2014/chart" uri="{C3380CC4-5D6E-409C-BE32-E72D297353CC}">
              <c16:uniqueId val="{00000006-60F5-4167-8208-8D842B41FDB2}"/>
            </c:ext>
          </c:extLst>
        </c:ser>
        <c:dLbls>
          <c:dLblPos val="ctr"/>
          <c:showLegendKey val="0"/>
          <c:showVal val="1"/>
          <c:showCatName val="0"/>
          <c:showSerName val="0"/>
          <c:showPercent val="0"/>
          <c:showBubbleSize val="0"/>
        </c:dLbls>
        <c:marker val="1"/>
        <c:smooth val="0"/>
        <c:axId val="-1585910272"/>
        <c:axId val="-1585903200"/>
      </c:lineChart>
      <c:catAx>
        <c:axId val="-15859102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3200"/>
        <c:crosses val="autoZero"/>
        <c:auto val="1"/>
        <c:lblAlgn val="ctr"/>
        <c:lblOffset val="100"/>
        <c:noMultiLvlLbl val="0"/>
      </c:catAx>
      <c:valAx>
        <c:axId val="-1585903200"/>
        <c:scaling>
          <c:orientation val="minMax"/>
        </c:scaling>
        <c:delete val="1"/>
        <c:axPos val="l"/>
        <c:numFmt formatCode="0.0" sourceLinked="0"/>
        <c:majorTickMark val="none"/>
        <c:minorTickMark val="none"/>
        <c:tickLblPos val="nextTo"/>
        <c:crossAx val="-158591027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costo!$A$5</c:f>
              <c:strCache>
                <c:ptCount val="1"/>
                <c:pt idx="0">
                  <c:v>COSTO POR ALUMNO (%)</c:v>
                </c:pt>
              </c:strCache>
            </c:strRef>
          </c:tx>
          <c:spPr>
            <a:ln w="31750" cap="rnd">
              <a:solidFill>
                <a:schemeClr val="accent2"/>
              </a:solidFill>
              <a:round/>
            </a:ln>
            <a:effectLst/>
          </c:spPr>
          <c:marker>
            <c:symbol val="circle"/>
            <c:size val="11"/>
            <c:spPr>
              <a:solidFill>
                <a:schemeClr val="accent2"/>
              </a:solidFill>
              <a:ln w="3175">
                <a:noFill/>
              </a:ln>
              <a:effectLst/>
            </c:spPr>
          </c:marker>
          <c:dPt>
            <c:idx val="0"/>
            <c:marker>
              <c:symbol val="circle"/>
              <c:size val="11"/>
              <c:spPr>
                <a:solidFill>
                  <a:schemeClr val="accent2"/>
                </a:solidFill>
                <a:ln w="3175">
                  <a:noFill/>
                </a:ln>
                <a:effectLst/>
              </c:spPr>
            </c:marker>
            <c:bubble3D val="0"/>
            <c:extLst>
              <c:ext xmlns:c16="http://schemas.microsoft.com/office/drawing/2014/chart" uri="{C3380CC4-5D6E-409C-BE32-E72D297353CC}">
                <c16:uniqueId val="{00000000-041C-4F7E-AF78-DAD6B08CA69B}"/>
              </c:ext>
            </c:extLst>
          </c:dPt>
          <c:dPt>
            <c:idx val="1"/>
            <c:marker>
              <c:symbol val="circle"/>
              <c:size val="11"/>
              <c:spPr>
                <a:solidFill>
                  <a:schemeClr val="accent2"/>
                </a:solidFill>
                <a:ln w="3175">
                  <a:noFill/>
                </a:ln>
                <a:effectLst/>
              </c:spPr>
            </c:marker>
            <c:bubble3D val="0"/>
            <c:extLst>
              <c:ext xmlns:c16="http://schemas.microsoft.com/office/drawing/2014/chart" uri="{C3380CC4-5D6E-409C-BE32-E72D297353CC}">
                <c16:uniqueId val="{00000001-041C-4F7E-AF78-DAD6B08CA69B}"/>
              </c:ext>
            </c:extLst>
          </c:dPt>
          <c:dPt>
            <c:idx val="2"/>
            <c:marker>
              <c:symbol val="circle"/>
              <c:size val="11"/>
              <c:spPr>
                <a:solidFill>
                  <a:schemeClr val="accent2"/>
                </a:solidFill>
                <a:ln w="3175">
                  <a:noFill/>
                </a:ln>
                <a:effectLst/>
              </c:spPr>
            </c:marker>
            <c:bubble3D val="0"/>
            <c:extLst>
              <c:ext xmlns:c16="http://schemas.microsoft.com/office/drawing/2014/chart" uri="{C3380CC4-5D6E-409C-BE32-E72D297353CC}">
                <c16:uniqueId val="{00000002-041C-4F7E-AF78-DAD6B08CA69B}"/>
              </c:ext>
            </c:extLst>
          </c:dPt>
          <c:dPt>
            <c:idx val="3"/>
            <c:marker>
              <c:symbol val="circle"/>
              <c:size val="11"/>
              <c:spPr>
                <a:solidFill>
                  <a:schemeClr val="accent2"/>
                </a:solidFill>
                <a:ln w="3175">
                  <a:noFill/>
                </a:ln>
                <a:effectLst/>
              </c:spPr>
            </c:marker>
            <c:bubble3D val="0"/>
            <c:extLst>
              <c:ext xmlns:c16="http://schemas.microsoft.com/office/drawing/2014/chart" uri="{C3380CC4-5D6E-409C-BE32-E72D297353CC}">
                <c16:uniqueId val="{00000003-041C-4F7E-AF78-DAD6B08CA69B}"/>
              </c:ext>
            </c:extLst>
          </c:dPt>
          <c:dPt>
            <c:idx val="4"/>
            <c:marker>
              <c:symbol val="circle"/>
              <c:size val="11"/>
              <c:spPr>
                <a:solidFill>
                  <a:schemeClr val="accent2"/>
                </a:solidFill>
                <a:ln w="3175">
                  <a:noFill/>
                </a:ln>
                <a:effectLst/>
              </c:spPr>
            </c:marker>
            <c:bubble3D val="0"/>
            <c:extLst>
              <c:ext xmlns:c16="http://schemas.microsoft.com/office/drawing/2014/chart" uri="{C3380CC4-5D6E-409C-BE32-E72D297353CC}">
                <c16:uniqueId val="{00000004-041C-4F7E-AF78-DAD6B08CA69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costo!$A$8:$A$12</c:f>
              <c:numCache>
                <c:formatCode>General</c:formatCode>
                <c:ptCount val="5"/>
                <c:pt idx="0">
                  <c:v>2018</c:v>
                </c:pt>
                <c:pt idx="1">
                  <c:v>2019</c:v>
                </c:pt>
                <c:pt idx="2">
                  <c:v>2020</c:v>
                </c:pt>
                <c:pt idx="3">
                  <c:v>2021</c:v>
                </c:pt>
                <c:pt idx="4">
                  <c:v>2022</c:v>
                </c:pt>
              </c:numCache>
            </c:numRef>
          </c:cat>
          <c:val>
            <c:numRef>
              <c:f>costo!$B$8:$B$12</c:f>
              <c:numCache>
                <c:formatCode>#,##0</c:formatCode>
                <c:ptCount val="5"/>
                <c:pt idx="0">
                  <c:v>17596.600771310892</c:v>
                </c:pt>
                <c:pt idx="1">
                  <c:v>18155.932300017314</c:v>
                </c:pt>
                <c:pt idx="2">
                  <c:v>18764.38587228108</c:v>
                </c:pt>
                <c:pt idx="3">
                  <c:v>19454.776944934765</c:v>
                </c:pt>
                <c:pt idx="4">
                  <c:v>19699.358796076998</c:v>
                </c:pt>
              </c:numCache>
            </c:numRef>
          </c:val>
          <c:smooth val="1"/>
          <c:extLst>
            <c:ext xmlns:c16="http://schemas.microsoft.com/office/drawing/2014/chart" uri="{C3380CC4-5D6E-409C-BE32-E72D297353CC}">
              <c16:uniqueId val="{00000006-041C-4F7E-AF78-DAD6B08CA69B}"/>
            </c:ext>
          </c:extLst>
        </c:ser>
        <c:dLbls>
          <c:dLblPos val="ctr"/>
          <c:showLegendKey val="0"/>
          <c:showVal val="1"/>
          <c:showCatName val="0"/>
          <c:showSerName val="0"/>
          <c:showPercent val="0"/>
          <c:showBubbleSize val="0"/>
        </c:dLbls>
        <c:marker val="1"/>
        <c:smooth val="0"/>
        <c:axId val="-1585910816"/>
        <c:axId val="-1585903744"/>
      </c:lineChart>
      <c:catAx>
        <c:axId val="-15859108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3744"/>
        <c:crosses val="autoZero"/>
        <c:auto val="1"/>
        <c:lblAlgn val="ctr"/>
        <c:lblOffset val="100"/>
        <c:noMultiLvlLbl val="0"/>
      </c:catAx>
      <c:valAx>
        <c:axId val="-1585903744"/>
        <c:scaling>
          <c:orientation val="minMax"/>
          <c:min val="10000"/>
        </c:scaling>
        <c:delete val="0"/>
        <c:axPos val="l"/>
        <c:numFmt formatCode="0.0" sourceLinked="0"/>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dk1">
                    <a:lumMod val="75000"/>
                    <a:lumOff val="25000"/>
                  </a:schemeClr>
                </a:solidFill>
                <a:latin typeface="Montserrat" panose="00000500000000000000" pitchFamily="2" charset="0"/>
                <a:ea typeface="+mn-ea"/>
                <a:cs typeface="+mn-cs"/>
              </a:defRPr>
            </a:pPr>
            <a:endParaRPr lang="es-MX"/>
          </a:p>
        </c:txPr>
        <c:crossAx val="-158591081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adocente!$A$5</c:f>
              <c:strCache>
                <c:ptCount val="1"/>
                <c:pt idx="0">
                  <c:v>ALUMNOS POR DOCENTE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9702-46D8-A90B-AA101C7C5960}"/>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9702-46D8-A90B-AA101C7C5960}"/>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9702-46D8-A90B-AA101C7C5960}"/>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9702-46D8-A90B-AA101C7C5960}"/>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9702-46D8-A90B-AA101C7C5960}"/>
              </c:ext>
            </c:extLst>
          </c:dPt>
          <c:dLbls>
            <c:spPr>
              <a:noFill/>
              <a:ln>
                <a:noFill/>
              </a:ln>
              <a:effectLst/>
            </c:spPr>
            <c:txPr>
              <a:bodyPr rot="0" spcFirstLastPara="1" vertOverflow="ellipsis" vert="horz" wrap="square" anchor="ctr" anchorCtr="1"/>
              <a:lstStyle/>
              <a:p>
                <a:pPr>
                  <a:defRPr sz="6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adocente!$A$8:$A$12</c:f>
              <c:numCache>
                <c:formatCode>General</c:formatCode>
                <c:ptCount val="5"/>
                <c:pt idx="0">
                  <c:v>2018</c:v>
                </c:pt>
                <c:pt idx="1">
                  <c:v>2019</c:v>
                </c:pt>
                <c:pt idx="2">
                  <c:v>2020</c:v>
                </c:pt>
                <c:pt idx="3">
                  <c:v>2021</c:v>
                </c:pt>
                <c:pt idx="4">
                  <c:v>2022</c:v>
                </c:pt>
              </c:numCache>
            </c:numRef>
          </c:cat>
          <c:val>
            <c:numRef>
              <c:f>adocente!$B$8:$B$12</c:f>
              <c:numCache>
                <c:formatCode>#,##0.0</c:formatCode>
                <c:ptCount val="5"/>
                <c:pt idx="0">
                  <c:v>19.570211683936176</c:v>
                </c:pt>
                <c:pt idx="1">
                  <c:v>19.695579435042792</c:v>
                </c:pt>
                <c:pt idx="2">
                  <c:v>19.987696113534277</c:v>
                </c:pt>
                <c:pt idx="3">
                  <c:v>20.419106012658229</c:v>
                </c:pt>
                <c:pt idx="4">
                  <c:v>21.226644628099173</c:v>
                </c:pt>
              </c:numCache>
            </c:numRef>
          </c:val>
          <c:smooth val="1"/>
          <c:extLst>
            <c:ext xmlns:c16="http://schemas.microsoft.com/office/drawing/2014/chart" uri="{C3380CC4-5D6E-409C-BE32-E72D297353CC}">
              <c16:uniqueId val="{00000006-9702-46D8-A90B-AA101C7C5960}"/>
            </c:ext>
          </c:extLst>
        </c:ser>
        <c:dLbls>
          <c:dLblPos val="ctr"/>
          <c:showLegendKey val="0"/>
          <c:showVal val="1"/>
          <c:showCatName val="0"/>
          <c:showSerName val="0"/>
          <c:showPercent val="0"/>
          <c:showBubbleSize val="0"/>
        </c:dLbls>
        <c:marker val="1"/>
        <c:smooth val="0"/>
        <c:axId val="-1585915712"/>
        <c:axId val="-1842079040"/>
      </c:lineChart>
      <c:catAx>
        <c:axId val="-15859157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842079040"/>
        <c:crosses val="autoZero"/>
        <c:auto val="1"/>
        <c:lblAlgn val="ctr"/>
        <c:lblOffset val="100"/>
        <c:noMultiLvlLbl val="0"/>
      </c:catAx>
      <c:valAx>
        <c:axId val="-1842079040"/>
        <c:scaling>
          <c:orientation val="minMax"/>
        </c:scaling>
        <c:delete val="1"/>
        <c:axPos val="l"/>
        <c:numFmt formatCode="0.0" sourceLinked="0"/>
        <c:majorTickMark val="none"/>
        <c:minorTickMark val="none"/>
        <c:tickLblPos val="nextTo"/>
        <c:crossAx val="-158591571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becas!$A$5</c:f>
              <c:strCache>
                <c:ptCount val="1"/>
                <c:pt idx="0">
                  <c:v>ALUMNOS BECADOS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A620-4607-A156-EBCBEAC62BEC}"/>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A620-4607-A156-EBCBEAC62BEC}"/>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A620-4607-A156-EBCBEAC62BEC}"/>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A620-4607-A156-EBCBEAC62BEC}"/>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A620-4607-A156-EBCBEAC62BEC}"/>
              </c:ext>
            </c:extLst>
          </c:dPt>
          <c:dPt>
            <c:idx val="5"/>
            <c:marker>
              <c:symbol val="circle"/>
              <c:size val="17"/>
              <c:spPr>
                <a:solidFill>
                  <a:schemeClr val="accent2"/>
                </a:solidFill>
                <a:ln>
                  <a:noFill/>
                </a:ln>
                <a:effectLst/>
              </c:spPr>
            </c:marker>
            <c:bubble3D val="0"/>
            <c:extLst>
              <c:ext xmlns:c16="http://schemas.microsoft.com/office/drawing/2014/chart" uri="{C3380CC4-5D6E-409C-BE32-E72D297353CC}">
                <c16:uniqueId val="{00000005-A620-4607-A156-EBCBEAC62BEC}"/>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becas!$A$8:$A$15</c:f>
              <c:strCache>
                <c:ptCount val="8"/>
                <c:pt idx="0">
                  <c:v>2013</c:v>
                </c:pt>
                <c:pt idx="1">
                  <c:v>2014</c:v>
                </c:pt>
                <c:pt idx="2">
                  <c:v>2015</c:v>
                </c:pt>
                <c:pt idx="3">
                  <c:v>2016</c:v>
                </c:pt>
                <c:pt idx="4">
                  <c:v>2017</c:v>
                </c:pt>
                <c:pt idx="5">
                  <c:v>2018</c:v>
                </c:pt>
                <c:pt idx="6">
                  <c:v>2019*</c:v>
                </c:pt>
                <c:pt idx="7">
                  <c:v>2020*</c:v>
                </c:pt>
              </c:strCache>
            </c:strRef>
          </c:cat>
          <c:val>
            <c:numRef>
              <c:f>becas!$B$8:$B$15</c:f>
              <c:numCache>
                <c:formatCode>0.0</c:formatCode>
                <c:ptCount val="8"/>
                <c:pt idx="0">
                  <c:v>0</c:v>
                </c:pt>
                <c:pt idx="1">
                  <c:v>0</c:v>
                </c:pt>
                <c:pt idx="2">
                  <c:v>0</c:v>
                </c:pt>
                <c:pt idx="3">
                  <c:v>0</c:v>
                </c:pt>
                <c:pt idx="4">
                  <c:v>0</c:v>
                </c:pt>
                <c:pt idx="5">
                  <c:v>0</c:v>
                </c:pt>
                <c:pt idx="6">
                  <c:v>0</c:v>
                </c:pt>
                <c:pt idx="7">
                  <c:v>0</c:v>
                </c:pt>
              </c:numCache>
            </c:numRef>
          </c:val>
          <c:smooth val="1"/>
          <c:extLst>
            <c:ext xmlns:c16="http://schemas.microsoft.com/office/drawing/2014/chart" uri="{C3380CC4-5D6E-409C-BE32-E72D297353CC}">
              <c16:uniqueId val="{00000006-A620-4607-A156-EBCBEAC62BEC}"/>
            </c:ext>
          </c:extLst>
        </c:ser>
        <c:dLbls>
          <c:dLblPos val="ctr"/>
          <c:showLegendKey val="0"/>
          <c:showVal val="1"/>
          <c:showCatName val="0"/>
          <c:showSerName val="0"/>
          <c:showPercent val="0"/>
          <c:showBubbleSize val="0"/>
        </c:dLbls>
        <c:marker val="1"/>
        <c:smooth val="0"/>
        <c:axId val="-1842075776"/>
        <c:axId val="-1582007520"/>
      </c:lineChart>
      <c:catAx>
        <c:axId val="-1842075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07520"/>
        <c:crosses val="autoZero"/>
        <c:auto val="1"/>
        <c:lblAlgn val="ctr"/>
        <c:lblOffset val="100"/>
        <c:noMultiLvlLbl val="0"/>
      </c:catAx>
      <c:valAx>
        <c:axId val="-15820075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84207577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alupc!$A$5</c:f>
              <c:strCache>
                <c:ptCount val="1"/>
                <c:pt idx="0">
                  <c:v>ALUMNOS POR COMPUTADORA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4ABC-4EFC-B2F8-BC77C4762DAE}"/>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4ABC-4EFC-B2F8-BC77C4762DAE}"/>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4ABC-4EFC-B2F8-BC77C4762DAE}"/>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4ABC-4EFC-B2F8-BC77C4762DAE}"/>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4ABC-4EFC-B2F8-BC77C4762DAE}"/>
              </c:ext>
            </c:extLst>
          </c:dPt>
          <c:dLbls>
            <c:spPr>
              <a:noFill/>
              <a:ln>
                <a:noFill/>
              </a:ln>
              <a:effectLst/>
            </c:spPr>
            <c:txPr>
              <a:bodyPr rot="0" spcFirstLastPara="1" vertOverflow="ellipsis" vert="horz" wrap="square" anchor="ctr" anchorCtr="1"/>
              <a:lstStyle/>
              <a:p>
                <a:pPr>
                  <a:defRPr sz="6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alupc!$A$8:$A$12</c:f>
              <c:numCache>
                <c:formatCode>General</c:formatCode>
                <c:ptCount val="5"/>
                <c:pt idx="0">
                  <c:v>2018</c:v>
                </c:pt>
                <c:pt idx="1">
                  <c:v>2019</c:v>
                </c:pt>
                <c:pt idx="2">
                  <c:v>2020</c:v>
                </c:pt>
                <c:pt idx="3">
                  <c:v>2021</c:v>
                </c:pt>
                <c:pt idx="4">
                  <c:v>2022</c:v>
                </c:pt>
              </c:numCache>
            </c:numRef>
          </c:cat>
          <c:val>
            <c:numRef>
              <c:f>alupc!$B$8:$B$12</c:f>
              <c:numCache>
                <c:formatCode>#,##0.0</c:formatCode>
                <c:ptCount val="5"/>
                <c:pt idx="0">
                  <c:v>9.6625655189730395</c:v>
                </c:pt>
                <c:pt idx="1">
                  <c:v>9.6070117071027283</c:v>
                </c:pt>
                <c:pt idx="2">
                  <c:v>9.6365776340981135</c:v>
                </c:pt>
                <c:pt idx="3">
                  <c:v>9.7208813282696713</c:v>
                </c:pt>
                <c:pt idx="4">
                  <c:v>10.076676814914785</c:v>
                </c:pt>
              </c:numCache>
            </c:numRef>
          </c:val>
          <c:smooth val="1"/>
          <c:extLst>
            <c:ext xmlns:c16="http://schemas.microsoft.com/office/drawing/2014/chart" uri="{C3380CC4-5D6E-409C-BE32-E72D297353CC}">
              <c16:uniqueId val="{00000006-4ABC-4EFC-B2F8-BC77C4762DAE}"/>
            </c:ext>
          </c:extLst>
        </c:ser>
        <c:dLbls>
          <c:dLblPos val="ctr"/>
          <c:showLegendKey val="0"/>
          <c:showVal val="1"/>
          <c:showCatName val="0"/>
          <c:showSerName val="0"/>
          <c:showPercent val="0"/>
          <c:showBubbleSize val="0"/>
        </c:dLbls>
        <c:marker val="1"/>
        <c:smooth val="0"/>
        <c:axId val="-1582003168"/>
        <c:axId val="-1582001536"/>
      </c:lineChart>
      <c:catAx>
        <c:axId val="-1582003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01536"/>
        <c:crosses val="autoZero"/>
        <c:auto val="1"/>
        <c:lblAlgn val="ctr"/>
        <c:lblOffset val="100"/>
        <c:noMultiLvlLbl val="0"/>
      </c:catAx>
      <c:valAx>
        <c:axId val="-15820015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58200316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admpc!$A$5</c:f>
              <c:strCache>
                <c:ptCount val="1"/>
                <c:pt idx="0">
                  <c:v>ADMINISTRATIVOS POR COMPUTADORA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7229-4AC2-AA79-0A584DEA8777}"/>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7229-4AC2-AA79-0A584DEA8777}"/>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7229-4AC2-AA79-0A584DEA8777}"/>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7229-4AC2-AA79-0A584DEA8777}"/>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7229-4AC2-AA79-0A584DEA8777}"/>
              </c:ext>
            </c:extLst>
          </c:dPt>
          <c:dPt>
            <c:idx val="5"/>
            <c:marker>
              <c:symbol val="circle"/>
              <c:size val="17"/>
              <c:spPr>
                <a:solidFill>
                  <a:schemeClr val="accent2"/>
                </a:solidFill>
                <a:ln>
                  <a:noFill/>
                </a:ln>
                <a:effectLst/>
              </c:spPr>
            </c:marker>
            <c:bubble3D val="0"/>
            <c:extLst>
              <c:ext xmlns:c16="http://schemas.microsoft.com/office/drawing/2014/chart" uri="{C3380CC4-5D6E-409C-BE32-E72D297353CC}">
                <c16:uniqueId val="{00000005-7229-4AC2-AA79-0A584DEA8777}"/>
              </c:ext>
            </c:extLst>
          </c:dPt>
          <c:dLbls>
            <c:spPr>
              <a:noFill/>
              <a:ln>
                <a:noFill/>
              </a:ln>
              <a:effectLst/>
            </c:spPr>
            <c:txPr>
              <a:bodyPr rot="0" spcFirstLastPara="1" vertOverflow="ellipsis" vert="horz" wrap="square" anchor="ctr" anchorCtr="1"/>
              <a:lstStyle/>
              <a:p>
                <a:pPr>
                  <a:defRPr sz="6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admpc!$A$8:$A$15</c:f>
              <c:numCache>
                <c:formatCode>General</c:formatCode>
                <c:ptCount val="8"/>
                <c:pt idx="0">
                  <c:v>2013</c:v>
                </c:pt>
                <c:pt idx="1">
                  <c:v>2014</c:v>
                </c:pt>
                <c:pt idx="2">
                  <c:v>2015</c:v>
                </c:pt>
                <c:pt idx="3">
                  <c:v>2016</c:v>
                </c:pt>
                <c:pt idx="4">
                  <c:v>2017</c:v>
                </c:pt>
                <c:pt idx="5">
                  <c:v>2018</c:v>
                </c:pt>
                <c:pt idx="6">
                  <c:v>2019</c:v>
                </c:pt>
                <c:pt idx="7">
                  <c:v>2020</c:v>
                </c:pt>
              </c:numCache>
            </c:numRef>
          </c:cat>
          <c:val>
            <c:numRef>
              <c:f>admpc!$B$8:$B$15</c:f>
              <c:numCache>
                <c:formatCode>#,##0.0</c:formatCode>
                <c:ptCount val="8"/>
                <c:pt idx="0">
                  <c:v>0</c:v>
                </c:pt>
                <c:pt idx="1">
                  <c:v>0</c:v>
                </c:pt>
                <c:pt idx="2">
                  <c:v>0</c:v>
                </c:pt>
                <c:pt idx="3">
                  <c:v>0</c:v>
                </c:pt>
                <c:pt idx="4">
                  <c:v>0</c:v>
                </c:pt>
                <c:pt idx="5">
                  <c:v>0</c:v>
                </c:pt>
                <c:pt idx="6">
                  <c:v>0</c:v>
                </c:pt>
                <c:pt idx="7">
                  <c:v>0</c:v>
                </c:pt>
              </c:numCache>
            </c:numRef>
          </c:val>
          <c:smooth val="1"/>
          <c:extLst>
            <c:ext xmlns:c16="http://schemas.microsoft.com/office/drawing/2014/chart" uri="{C3380CC4-5D6E-409C-BE32-E72D297353CC}">
              <c16:uniqueId val="{00000006-7229-4AC2-AA79-0A584DEA8777}"/>
            </c:ext>
          </c:extLst>
        </c:ser>
        <c:dLbls>
          <c:dLblPos val="ctr"/>
          <c:showLegendKey val="0"/>
          <c:showVal val="1"/>
          <c:showCatName val="0"/>
          <c:showSerName val="0"/>
          <c:showPercent val="0"/>
          <c:showBubbleSize val="0"/>
        </c:dLbls>
        <c:marker val="1"/>
        <c:smooth val="0"/>
        <c:axId val="-1582008608"/>
        <c:axId val="-1582004800"/>
      </c:lineChart>
      <c:catAx>
        <c:axId val="-1582008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04800"/>
        <c:crosses val="autoZero"/>
        <c:auto val="1"/>
        <c:lblAlgn val="ctr"/>
        <c:lblOffset val="100"/>
        <c:noMultiLvlLbl val="0"/>
      </c:catAx>
      <c:valAx>
        <c:axId val="-1582004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58200860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338608197490581E-2"/>
          <c:y val="0.1319083842607793"/>
          <c:w val="0.92732278360501885"/>
          <c:h val="0.71113275603700143"/>
        </c:manualLayout>
      </c:layout>
      <c:lineChart>
        <c:grouping val="standard"/>
        <c:varyColors val="0"/>
        <c:ser>
          <c:idx val="1"/>
          <c:order val="0"/>
          <c:tx>
            <c:strRef>
              <c:f>capacitacion!$A$5</c:f>
              <c:strCache>
                <c:ptCount val="1"/>
                <c:pt idx="0">
                  <c:v>PERSONAS CAPACITADAS</c:v>
                </c:pt>
              </c:strCache>
            </c:strRef>
          </c:tx>
          <c:spPr>
            <a:ln w="31750" cap="rnd">
              <a:solidFill>
                <a:schemeClr val="accent2"/>
              </a:solidFill>
              <a:round/>
            </a:ln>
            <a:effectLst/>
          </c:spPr>
          <c:marker>
            <c:symbol val="circle"/>
            <c:size val="17"/>
            <c:spPr>
              <a:solidFill>
                <a:schemeClr val="accent2"/>
              </a:solidFill>
              <a:ln>
                <a:noFill/>
              </a:ln>
              <a:effectLst/>
            </c:spPr>
          </c:marker>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D11F-4450-8A49-912C44E0D034}"/>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D11F-4450-8A49-912C44E0D034}"/>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D11F-4450-8A49-912C44E0D034}"/>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D11F-4450-8A49-912C44E0D034}"/>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capacitacion!$A$8:$A$12</c:f>
              <c:numCache>
                <c:formatCode>General</c:formatCode>
                <c:ptCount val="5"/>
                <c:pt idx="0">
                  <c:v>2018</c:v>
                </c:pt>
                <c:pt idx="1">
                  <c:v>2019</c:v>
                </c:pt>
                <c:pt idx="2">
                  <c:v>2020</c:v>
                </c:pt>
                <c:pt idx="3">
                  <c:v>2021</c:v>
                </c:pt>
                <c:pt idx="4">
                  <c:v>2022</c:v>
                </c:pt>
              </c:numCache>
            </c:numRef>
          </c:cat>
          <c:val>
            <c:numRef>
              <c:f>capacitacion!$B$8:$B$12</c:f>
              <c:numCache>
                <c:formatCode>#,##0</c:formatCode>
                <c:ptCount val="5"/>
                <c:pt idx="0">
                  <c:v>164018</c:v>
                </c:pt>
                <c:pt idx="1">
                  <c:v>149444</c:v>
                </c:pt>
                <c:pt idx="2">
                  <c:v>84543</c:v>
                </c:pt>
                <c:pt idx="3">
                  <c:v>119725</c:v>
                </c:pt>
                <c:pt idx="4">
                  <c:v>148628</c:v>
                </c:pt>
              </c:numCache>
            </c:numRef>
          </c:val>
          <c:smooth val="1"/>
          <c:extLst>
            <c:ext xmlns:c16="http://schemas.microsoft.com/office/drawing/2014/chart" uri="{C3380CC4-5D6E-409C-BE32-E72D297353CC}">
              <c16:uniqueId val="{00000005-D11F-4450-8A49-912C44E0D034}"/>
            </c:ext>
          </c:extLst>
        </c:ser>
        <c:dLbls>
          <c:dLblPos val="ctr"/>
          <c:showLegendKey val="0"/>
          <c:showVal val="1"/>
          <c:showCatName val="0"/>
          <c:showSerName val="0"/>
          <c:showPercent val="0"/>
          <c:showBubbleSize val="0"/>
        </c:dLbls>
        <c:marker val="1"/>
        <c:smooth val="0"/>
        <c:axId val="-1582005888"/>
        <c:axId val="-1582006976"/>
      </c:lineChart>
      <c:catAx>
        <c:axId val="-15820058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06976"/>
        <c:crosses val="autoZero"/>
        <c:auto val="1"/>
        <c:lblAlgn val="ctr"/>
        <c:lblOffset val="100"/>
        <c:noMultiLvlLbl val="0"/>
      </c:catAx>
      <c:valAx>
        <c:axId val="-1582006976"/>
        <c:scaling>
          <c:orientation val="minMax"/>
        </c:scaling>
        <c:delete val="1"/>
        <c:axPos val="l"/>
        <c:numFmt formatCode="0.0" sourceLinked="0"/>
        <c:majorTickMark val="none"/>
        <c:minorTickMark val="none"/>
        <c:tickLblPos val="nextTo"/>
        <c:crossAx val="-158200588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3638-4A5D-860E-2A5138203546}"/>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3638-4A5D-860E-2A5138203546}"/>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3638-4A5D-860E-2A5138203546}"/>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3638-4A5D-860E-2A5138203546}"/>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3638-4A5D-860E-2A5138203546}"/>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servtec!$A$8:$A$12</c:f>
              <c:numCache>
                <c:formatCode>General</c:formatCode>
                <c:ptCount val="5"/>
                <c:pt idx="0">
                  <c:v>2018</c:v>
                </c:pt>
                <c:pt idx="1">
                  <c:v>2019</c:v>
                </c:pt>
                <c:pt idx="2">
                  <c:v>2020</c:v>
                </c:pt>
                <c:pt idx="3">
                  <c:v>2021</c:v>
                </c:pt>
                <c:pt idx="4">
                  <c:v>2022</c:v>
                </c:pt>
              </c:numCache>
            </c:numRef>
          </c:cat>
          <c:val>
            <c:numRef>
              <c:f>servtec!$B$8:$B$12</c:f>
              <c:numCache>
                <c:formatCode>#,##0</c:formatCode>
                <c:ptCount val="5"/>
                <c:pt idx="0">
                  <c:v>20186</c:v>
                </c:pt>
                <c:pt idx="1">
                  <c:v>17392</c:v>
                </c:pt>
                <c:pt idx="2">
                  <c:v>6838</c:v>
                </c:pt>
                <c:pt idx="3">
                  <c:v>9685</c:v>
                </c:pt>
                <c:pt idx="4">
                  <c:v>11282</c:v>
                </c:pt>
              </c:numCache>
            </c:numRef>
          </c:val>
          <c:smooth val="1"/>
          <c:extLst>
            <c:ext xmlns:c16="http://schemas.microsoft.com/office/drawing/2014/chart" uri="{C3380CC4-5D6E-409C-BE32-E72D297353CC}">
              <c16:uniqueId val="{00000006-3638-4A5D-860E-2A5138203546}"/>
            </c:ext>
          </c:extLst>
        </c:ser>
        <c:dLbls>
          <c:dLblPos val="ctr"/>
          <c:showLegendKey val="0"/>
          <c:showVal val="1"/>
          <c:showCatName val="0"/>
          <c:showSerName val="0"/>
          <c:showPercent val="0"/>
          <c:showBubbleSize val="0"/>
        </c:dLbls>
        <c:marker val="1"/>
        <c:smooth val="0"/>
        <c:axId val="-1582005344"/>
        <c:axId val="-1582009696"/>
      </c:lineChart>
      <c:catAx>
        <c:axId val="-15820053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09696"/>
        <c:crosses val="autoZero"/>
        <c:auto val="1"/>
        <c:lblAlgn val="ctr"/>
        <c:lblOffset val="100"/>
        <c:noMultiLvlLbl val="0"/>
      </c:catAx>
      <c:valAx>
        <c:axId val="-1582009696"/>
        <c:scaling>
          <c:orientation val="minMax"/>
        </c:scaling>
        <c:delete val="1"/>
        <c:axPos val="l"/>
        <c:numFmt formatCode="0.0" sourceLinked="0"/>
        <c:majorTickMark val="none"/>
        <c:minorTickMark val="none"/>
        <c:tickLblPos val="nextTo"/>
        <c:crossAx val="-158200534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114914192825205E-2"/>
          <c:y val="0.13853988331592226"/>
          <c:w val="0.9277701716143496"/>
          <c:h val="0.68691333909994634"/>
        </c:manualLayout>
      </c:layout>
      <c:lineChart>
        <c:grouping val="standard"/>
        <c:varyColors val="0"/>
        <c:ser>
          <c:idx val="1"/>
          <c:order val="0"/>
          <c:tx>
            <c:strRef>
              <c:f>evaluacion!$A$5</c:f>
              <c:strCache>
                <c:ptCount val="1"/>
                <c:pt idx="0">
                  <c:v>EVALUACIÓN DE COMPETENCIAS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4707-403A-884D-9B4228B73320}"/>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4707-403A-884D-9B4228B73320}"/>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4707-403A-884D-9B4228B73320}"/>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4707-403A-884D-9B4228B73320}"/>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evaluacion!$A$8:$A$12</c:f>
              <c:numCache>
                <c:formatCode>General</c:formatCode>
                <c:ptCount val="4"/>
                <c:pt idx="0">
                  <c:v>2018</c:v>
                </c:pt>
                <c:pt idx="1">
                  <c:v>2019</c:v>
                </c:pt>
                <c:pt idx="2">
                  <c:v>2020</c:v>
                </c:pt>
                <c:pt idx="3">
                  <c:v>2021</c:v>
                </c:pt>
              </c:numCache>
            </c:numRef>
          </c:cat>
          <c:val>
            <c:numRef>
              <c:f>evaluacion!$B$8:$B$12</c:f>
              <c:numCache>
                <c:formatCode>#,##0</c:formatCode>
                <c:ptCount val="4"/>
                <c:pt idx="0">
                  <c:v>217109</c:v>
                </c:pt>
                <c:pt idx="1">
                  <c:v>235963</c:v>
                </c:pt>
                <c:pt idx="2">
                  <c:v>114862</c:v>
                </c:pt>
                <c:pt idx="3">
                  <c:v>117603</c:v>
                </c:pt>
              </c:numCache>
            </c:numRef>
          </c:val>
          <c:smooth val="1"/>
          <c:extLst>
            <c:ext xmlns:c16="http://schemas.microsoft.com/office/drawing/2014/chart" uri="{C3380CC4-5D6E-409C-BE32-E72D297353CC}">
              <c16:uniqueId val="{00000005-4707-403A-884D-9B4228B73320}"/>
            </c:ext>
          </c:extLst>
        </c:ser>
        <c:dLbls>
          <c:dLblPos val="ctr"/>
          <c:showLegendKey val="0"/>
          <c:showVal val="1"/>
          <c:showCatName val="0"/>
          <c:showSerName val="0"/>
          <c:showPercent val="0"/>
          <c:showBubbleSize val="0"/>
        </c:dLbls>
        <c:marker val="1"/>
        <c:smooth val="0"/>
        <c:axId val="-1581994464"/>
        <c:axId val="-1581997184"/>
      </c:lineChart>
      <c:catAx>
        <c:axId val="-158199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1997184"/>
        <c:crosses val="autoZero"/>
        <c:auto val="1"/>
        <c:lblAlgn val="ctr"/>
        <c:lblOffset val="100"/>
        <c:noMultiLvlLbl val="0"/>
      </c:catAx>
      <c:valAx>
        <c:axId val="-1581997184"/>
        <c:scaling>
          <c:orientation val="minMax"/>
        </c:scaling>
        <c:delete val="1"/>
        <c:axPos val="l"/>
        <c:numFmt formatCode="0.0" sourceLinked="0"/>
        <c:majorTickMark val="none"/>
        <c:minorTickMark val="none"/>
        <c:tickLblPos val="nextTo"/>
        <c:crossAx val="-15819944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114914192825205E-2"/>
          <c:y val="0.13853988331592226"/>
          <c:w val="0.9277701716143496"/>
          <c:h val="0.68691333909994634"/>
        </c:manualLayout>
      </c:layout>
      <c:lineChart>
        <c:grouping val="standard"/>
        <c:varyColors val="0"/>
        <c:ser>
          <c:idx val="1"/>
          <c:order val="0"/>
          <c:tx>
            <c:strRef>
              <c:f>certificacion!$A$5</c:f>
              <c:strCache>
                <c:ptCount val="1"/>
                <c:pt idx="0">
                  <c:v>CERTIFICACIÓN DE COMPETENCIAS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7991-4CB7-8FD2-59F458E8EE53}"/>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7991-4CB7-8FD2-59F458E8EE53}"/>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7991-4CB7-8FD2-59F458E8EE53}"/>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7991-4CB7-8FD2-59F458E8EE53}"/>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7991-4CB7-8FD2-59F458E8EE53}"/>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certificacion!$A$8:$A$13</c:f>
              <c:numCache>
                <c:formatCode>General</c:formatCode>
                <c:ptCount val="5"/>
                <c:pt idx="0">
                  <c:v>2018</c:v>
                </c:pt>
                <c:pt idx="1">
                  <c:v>2019</c:v>
                </c:pt>
                <c:pt idx="2">
                  <c:v>2020</c:v>
                </c:pt>
                <c:pt idx="3">
                  <c:v>2021</c:v>
                </c:pt>
                <c:pt idx="4">
                  <c:v>2022</c:v>
                </c:pt>
              </c:numCache>
            </c:numRef>
          </c:cat>
          <c:val>
            <c:numRef>
              <c:f>certificacion!$B$8:$B$13</c:f>
              <c:numCache>
                <c:formatCode>#,##0</c:formatCode>
                <c:ptCount val="5"/>
                <c:pt idx="0">
                  <c:v>163434</c:v>
                </c:pt>
                <c:pt idx="1">
                  <c:v>174827</c:v>
                </c:pt>
                <c:pt idx="2">
                  <c:v>88578</c:v>
                </c:pt>
                <c:pt idx="3">
                  <c:v>92502</c:v>
                </c:pt>
                <c:pt idx="4">
                  <c:v>78858</c:v>
                </c:pt>
              </c:numCache>
            </c:numRef>
          </c:val>
          <c:smooth val="1"/>
          <c:extLst>
            <c:ext xmlns:c16="http://schemas.microsoft.com/office/drawing/2014/chart" uri="{C3380CC4-5D6E-409C-BE32-E72D297353CC}">
              <c16:uniqueId val="{00000006-7991-4CB7-8FD2-59F458E8EE53}"/>
            </c:ext>
          </c:extLst>
        </c:ser>
        <c:dLbls>
          <c:dLblPos val="ctr"/>
          <c:showLegendKey val="0"/>
          <c:showVal val="1"/>
          <c:showCatName val="0"/>
          <c:showSerName val="0"/>
          <c:showPercent val="0"/>
          <c:showBubbleSize val="0"/>
        </c:dLbls>
        <c:marker val="1"/>
        <c:smooth val="0"/>
        <c:axId val="-1581994464"/>
        <c:axId val="-1581997184"/>
      </c:lineChart>
      <c:catAx>
        <c:axId val="-158199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1997184"/>
        <c:crosses val="autoZero"/>
        <c:auto val="1"/>
        <c:lblAlgn val="ctr"/>
        <c:lblOffset val="100"/>
        <c:noMultiLvlLbl val="0"/>
      </c:catAx>
      <c:valAx>
        <c:axId val="-1581997184"/>
        <c:scaling>
          <c:orientation val="minMax"/>
        </c:scaling>
        <c:delete val="1"/>
        <c:axPos val="l"/>
        <c:numFmt formatCode="0.0" sourceLinked="0"/>
        <c:majorTickMark val="none"/>
        <c:minorTickMark val="none"/>
        <c:tickLblPos val="nextTo"/>
        <c:crossAx val="-15819944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demanda!$A$5</c:f>
              <c:strCache>
                <c:ptCount val="1"/>
                <c:pt idx="0">
                  <c:v>ATENCIÓN A LA DEMANDA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E260-4622-8841-CD1159C8E9AE}"/>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E260-4622-8841-CD1159C8E9AE}"/>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E260-4622-8841-CD1159C8E9AE}"/>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E260-4622-8841-CD1159C8E9AE}"/>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E260-4622-8841-CD1159C8E9AE}"/>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demanda!$A$8:$A$12</c:f>
              <c:numCache>
                <c:formatCode>General</c:formatCode>
                <c:ptCount val="5"/>
                <c:pt idx="0">
                  <c:v>2018</c:v>
                </c:pt>
                <c:pt idx="1">
                  <c:v>2019</c:v>
                </c:pt>
                <c:pt idx="2">
                  <c:v>2020</c:v>
                </c:pt>
                <c:pt idx="3">
                  <c:v>2021</c:v>
                </c:pt>
                <c:pt idx="4">
                  <c:v>2022</c:v>
                </c:pt>
              </c:numCache>
            </c:numRef>
          </c:cat>
          <c:val>
            <c:numRef>
              <c:f>demanda!$B$8:$B$12</c:f>
              <c:numCache>
                <c:formatCode>0.00</c:formatCode>
                <c:ptCount val="5"/>
                <c:pt idx="0">
                  <c:v>81.04278601558201</c:v>
                </c:pt>
                <c:pt idx="1">
                  <c:v>85.679834554313146</c:v>
                </c:pt>
                <c:pt idx="2">
                  <c:v>86.388435835630673</c:v>
                </c:pt>
                <c:pt idx="3">
                  <c:v>88.471603313694416</c:v>
                </c:pt>
                <c:pt idx="4">
                  <c:v>86.481377068753943</c:v>
                </c:pt>
              </c:numCache>
            </c:numRef>
          </c:val>
          <c:smooth val="1"/>
          <c:extLst>
            <c:ext xmlns:c16="http://schemas.microsoft.com/office/drawing/2014/chart" uri="{C3380CC4-5D6E-409C-BE32-E72D297353CC}">
              <c16:uniqueId val="{00000006-E260-4622-8841-CD1159C8E9AE}"/>
            </c:ext>
          </c:extLst>
        </c:ser>
        <c:dLbls>
          <c:dLblPos val="ctr"/>
          <c:showLegendKey val="0"/>
          <c:showVal val="1"/>
          <c:showCatName val="0"/>
          <c:showSerName val="0"/>
          <c:showPercent val="0"/>
          <c:showBubbleSize val="0"/>
        </c:dLbls>
        <c:marker val="1"/>
        <c:smooth val="0"/>
        <c:axId val="-1585914080"/>
        <c:axId val="-1585907008"/>
      </c:lineChart>
      <c:catAx>
        <c:axId val="-1585914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7008"/>
        <c:crosses val="autoZero"/>
        <c:auto val="1"/>
        <c:lblAlgn val="ctr"/>
        <c:lblOffset val="100"/>
        <c:noMultiLvlLbl val="0"/>
      </c:catAx>
      <c:valAx>
        <c:axId val="-1585907008"/>
        <c:scaling>
          <c:orientation val="minMax"/>
        </c:scaling>
        <c:delete val="1"/>
        <c:axPos val="l"/>
        <c:numFmt formatCode="0.0" sourceLinked="0"/>
        <c:majorTickMark val="none"/>
        <c:minorTickMark val="none"/>
        <c:tickLblPos val="nextTo"/>
        <c:crossAx val="-158591408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ecolocados!$A$5</c:f>
              <c:strCache>
                <c:ptCount val="1"/>
                <c:pt idx="0">
                  <c:v>INSERCIÓN LABORAL POR BOLSA DE TRABAJO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9304-437B-B920-A3327213353B}"/>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9304-437B-B920-A3327213353B}"/>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ecolocados!$A$8:$A$9</c:f>
              <c:numCache>
                <c:formatCode>General</c:formatCode>
                <c:ptCount val="2"/>
                <c:pt idx="0">
                  <c:v>2021</c:v>
                </c:pt>
                <c:pt idx="1">
                  <c:v>2022</c:v>
                </c:pt>
              </c:numCache>
            </c:numRef>
          </c:cat>
          <c:val>
            <c:numRef>
              <c:f>ecolocados!$B$8:$B$9</c:f>
              <c:numCache>
                <c:formatCode>0.0</c:formatCode>
                <c:ptCount val="2"/>
                <c:pt idx="0">
                  <c:v>85.70811744386873</c:v>
                </c:pt>
                <c:pt idx="1">
                  <c:v>77.453546192096312</c:v>
                </c:pt>
              </c:numCache>
            </c:numRef>
          </c:val>
          <c:smooth val="1"/>
          <c:extLst>
            <c:ext xmlns:c16="http://schemas.microsoft.com/office/drawing/2014/chart" uri="{C3380CC4-5D6E-409C-BE32-E72D297353CC}">
              <c16:uniqueId val="{00000005-9304-437B-B920-A3327213353B}"/>
            </c:ext>
          </c:extLst>
        </c:ser>
        <c:dLbls>
          <c:dLblPos val="ctr"/>
          <c:showLegendKey val="0"/>
          <c:showVal val="1"/>
          <c:showCatName val="0"/>
          <c:showSerName val="0"/>
          <c:showPercent val="0"/>
          <c:showBubbleSize val="0"/>
        </c:dLbls>
        <c:marker val="1"/>
        <c:smooth val="0"/>
        <c:axId val="-1582002624"/>
        <c:axId val="-1582010240"/>
      </c:lineChart>
      <c:catAx>
        <c:axId val="-1582002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10240"/>
        <c:crosses val="autoZero"/>
        <c:auto val="1"/>
        <c:lblAlgn val="ctr"/>
        <c:lblOffset val="100"/>
        <c:noMultiLvlLbl val="0"/>
      </c:catAx>
      <c:valAx>
        <c:axId val="-1582010240"/>
        <c:scaling>
          <c:orientation val="minMax"/>
        </c:scaling>
        <c:delete val="1"/>
        <c:axPos val="l"/>
        <c:numFmt formatCode="0.0" sourceLinked="0"/>
        <c:majorTickMark val="none"/>
        <c:minorTickMark val="none"/>
        <c:tickLblPos val="nextTo"/>
        <c:crossAx val="-158200262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bexterno!$A$5</c:f>
              <c:strCache>
                <c:ptCount val="1"/>
                <c:pt idx="0">
                  <c:v>COBERTURA DE BECADOS EXTERNOS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218C-4119-ADFF-C476311BE60A}"/>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218C-4119-ADFF-C476311BE60A}"/>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218C-4119-ADFF-C476311BE60A}"/>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218C-4119-ADFF-C476311BE60A}"/>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218C-4119-ADFF-C476311BE60A}"/>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bexterno!$A$8:$A$12</c:f>
              <c:numCache>
                <c:formatCode>General</c:formatCode>
                <c:ptCount val="5"/>
                <c:pt idx="0">
                  <c:v>2018</c:v>
                </c:pt>
                <c:pt idx="1">
                  <c:v>2019</c:v>
                </c:pt>
                <c:pt idx="2">
                  <c:v>2020</c:v>
                </c:pt>
                <c:pt idx="3">
                  <c:v>2021</c:v>
                </c:pt>
                <c:pt idx="4">
                  <c:v>2022</c:v>
                </c:pt>
              </c:numCache>
            </c:numRef>
          </c:cat>
          <c:val>
            <c:numRef>
              <c:f>bexterno!$B$8:$B$12</c:f>
              <c:numCache>
                <c:formatCode>0.0</c:formatCode>
                <c:ptCount val="5"/>
                <c:pt idx="0">
                  <c:v>3.9060089196677703</c:v>
                </c:pt>
                <c:pt idx="1">
                  <c:v>3.8387527810538766</c:v>
                </c:pt>
                <c:pt idx="2">
                  <c:v>0.4162446137360723</c:v>
                </c:pt>
                <c:pt idx="3">
                  <c:v>1.9934327143811932</c:v>
                </c:pt>
                <c:pt idx="4">
                  <c:v>3.0219309584398837</c:v>
                </c:pt>
              </c:numCache>
            </c:numRef>
          </c:val>
          <c:smooth val="1"/>
          <c:extLst>
            <c:ext xmlns:c16="http://schemas.microsoft.com/office/drawing/2014/chart" uri="{C3380CC4-5D6E-409C-BE32-E72D297353CC}">
              <c16:uniqueId val="{00000006-218C-4119-ADFF-C476311BE60A}"/>
            </c:ext>
          </c:extLst>
        </c:ser>
        <c:dLbls>
          <c:dLblPos val="ctr"/>
          <c:showLegendKey val="0"/>
          <c:showVal val="1"/>
          <c:showCatName val="0"/>
          <c:showSerName val="0"/>
          <c:showPercent val="0"/>
          <c:showBubbleSize val="0"/>
        </c:dLbls>
        <c:marker val="1"/>
        <c:smooth val="0"/>
        <c:axId val="-1582002624"/>
        <c:axId val="-1582010240"/>
      </c:lineChart>
      <c:catAx>
        <c:axId val="-1582002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10240"/>
        <c:crosses val="autoZero"/>
        <c:auto val="1"/>
        <c:lblAlgn val="ctr"/>
        <c:lblOffset val="100"/>
        <c:noMultiLvlLbl val="0"/>
      </c:catAx>
      <c:valAx>
        <c:axId val="-1582010240"/>
        <c:scaling>
          <c:orientation val="minMax"/>
        </c:scaling>
        <c:delete val="1"/>
        <c:axPos val="l"/>
        <c:numFmt formatCode="0.0" sourceLinked="0"/>
        <c:majorTickMark val="none"/>
        <c:minorTickMark val="none"/>
        <c:tickLblPos val="nextTo"/>
        <c:crossAx val="-158200262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6271388982147"/>
          <c:y val="5.3105729385389294E-2"/>
          <c:w val="0.87452425798553157"/>
          <c:h val="0.78326470607561804"/>
        </c:manualLayout>
      </c:layout>
      <c:barChart>
        <c:barDir val="col"/>
        <c:grouping val="clustered"/>
        <c:varyColors val="0"/>
        <c:ser>
          <c:idx val="1"/>
          <c:order val="0"/>
          <c:tx>
            <c:strRef>
              <c:f>cd!$B$17</c:f>
              <c:strCache>
                <c:ptCount val="1"/>
                <c:pt idx="0">
                  <c:v>Gasto total ejercido</c:v>
                </c:pt>
              </c:strCache>
            </c:strRef>
          </c:tx>
          <c:spPr>
            <a:solidFill>
              <a:schemeClr val="accent2"/>
            </a:solidFill>
            <a:ln>
              <a:noFill/>
            </a:ln>
            <a:effectLst/>
          </c:spPr>
          <c:invertIfNegative val="0"/>
          <c:cat>
            <c:numRef>
              <c:extLst>
                <c:ext xmlns:c15="http://schemas.microsoft.com/office/drawing/2012/chart" uri="{02D57815-91ED-43cb-92C2-25804820EDAC}">
                  <c15:fullRef>
                    <c15:sqref>cd!$A$18:$A$25</c15:sqref>
                  </c15:fullRef>
                </c:ext>
              </c:extLst>
              <c:f>cd!$A$18:$A$22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cd!$B$18:$B$25</c15:sqref>
                  </c15:fullRef>
                </c:ext>
              </c:extLst>
              <c:f>cd!$B$18:$B$22</c:f>
              <c:numCache>
                <c:formatCode>General</c:formatCode>
                <c:ptCount val="5"/>
                <c:pt idx="0">
                  <c:v>1578480</c:v>
                </c:pt>
                <c:pt idx="1">
                  <c:v>1511221.007</c:v>
                </c:pt>
                <c:pt idx="2">
                  <c:v>1422248.821</c:v>
                </c:pt>
                <c:pt idx="3">
                  <c:v>1569932.3870000001</c:v>
                </c:pt>
                <c:pt idx="4">
                  <c:v>1716208.933</c:v>
                </c:pt>
              </c:numCache>
            </c:numRef>
          </c:val>
          <c:extLst>
            <c:ext xmlns:c16="http://schemas.microsoft.com/office/drawing/2014/chart" uri="{C3380CC4-5D6E-409C-BE32-E72D297353CC}">
              <c16:uniqueId val="{00000000-0191-4694-AE71-067F8E1C67F8}"/>
            </c:ext>
          </c:extLst>
        </c:ser>
        <c:ser>
          <c:idx val="2"/>
          <c:order val="1"/>
          <c:tx>
            <c:strRef>
              <c:f>cd!$C$17</c:f>
              <c:strCache>
                <c:ptCount val="1"/>
                <c:pt idx="0">
                  <c:v>Gasto Ejercido en docentes</c:v>
                </c:pt>
              </c:strCache>
            </c:strRef>
          </c:tx>
          <c:spPr>
            <a:solidFill>
              <a:schemeClr val="accent3"/>
            </a:solidFill>
            <a:ln>
              <a:noFill/>
            </a:ln>
            <a:effectLst/>
          </c:spPr>
          <c:invertIfNegative val="0"/>
          <c:cat>
            <c:numRef>
              <c:extLst>
                <c:ext xmlns:c15="http://schemas.microsoft.com/office/drawing/2012/chart" uri="{02D57815-91ED-43cb-92C2-25804820EDAC}">
                  <c15:fullRef>
                    <c15:sqref>cd!$A$18:$A$25</c15:sqref>
                  </c15:fullRef>
                </c:ext>
              </c:extLst>
              <c:f>cd!$A$18:$A$22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cd!$C$18:$C$25</c15:sqref>
                  </c15:fullRef>
                </c:ext>
              </c:extLst>
              <c:f>cd!$C$18:$C$22</c:f>
              <c:numCache>
                <c:formatCode>General</c:formatCode>
                <c:ptCount val="5"/>
                <c:pt idx="0">
                  <c:v>367837.29021000001</c:v>
                </c:pt>
                <c:pt idx="1">
                  <c:v>384815.8</c:v>
                </c:pt>
                <c:pt idx="2">
                  <c:v>399892.79996442498</c:v>
                </c:pt>
                <c:pt idx="3">
                  <c:v>461057.18076000002</c:v>
                </c:pt>
                <c:pt idx="4">
                  <c:v>504351.18284999998</c:v>
                </c:pt>
              </c:numCache>
            </c:numRef>
          </c:val>
          <c:extLst>
            <c:ext xmlns:c16="http://schemas.microsoft.com/office/drawing/2014/chart" uri="{C3380CC4-5D6E-409C-BE32-E72D297353CC}">
              <c16:uniqueId val="{00000001-0191-4694-AE71-067F8E1C67F8}"/>
            </c:ext>
          </c:extLst>
        </c:ser>
        <c:dLbls>
          <c:showLegendKey val="0"/>
          <c:showVal val="0"/>
          <c:showCatName val="0"/>
          <c:showSerName val="0"/>
          <c:showPercent val="0"/>
          <c:showBubbleSize val="0"/>
        </c:dLbls>
        <c:gapWidth val="0"/>
        <c:axId val="-1802439392"/>
        <c:axId val="-1802444832"/>
      </c:barChart>
      <c:lineChart>
        <c:grouping val="standard"/>
        <c:varyColors val="0"/>
        <c:ser>
          <c:idx val="3"/>
          <c:order val="2"/>
          <c:tx>
            <c:strRef>
              <c:f>cd!$D$17</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cd!$A$18:$A$25</c15:sqref>
                  </c15:fullRef>
                </c:ext>
              </c:extLst>
              <c:f>cd!$A$18:$A$22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cd!$D$18:$D$25</c15:sqref>
                  </c15:fullRef>
                </c:ext>
              </c:extLst>
              <c:f>cd!$D$18:$D$22</c:f>
              <c:numCache>
                <c:formatCode>General</c:formatCode>
                <c:ptCount val="5"/>
                <c:pt idx="0">
                  <c:v>23.30325947810552</c:v>
                </c:pt>
                <c:pt idx="1">
                  <c:v>25.46389960287258</c:v>
                </c:pt>
                <c:pt idx="2">
                  <c:v>28.116936647080898</c:v>
                </c:pt>
                <c:pt idx="3">
                  <c:v>29.367964160611969</c:v>
                </c:pt>
                <c:pt idx="4">
                  <c:v>29.387516470292141</c:v>
                </c:pt>
              </c:numCache>
            </c:numRef>
          </c:val>
          <c:smooth val="0"/>
          <c:extLst>
            <c:ext xmlns:c16="http://schemas.microsoft.com/office/drawing/2014/chart" uri="{C3380CC4-5D6E-409C-BE32-E72D297353CC}">
              <c16:uniqueId val="{00000002-0191-4694-AE71-067F8E1C67F8}"/>
            </c:ext>
          </c:extLst>
        </c:ser>
        <c:dLbls>
          <c:showLegendKey val="0"/>
          <c:showVal val="0"/>
          <c:showCatName val="0"/>
          <c:showSerName val="0"/>
          <c:showPercent val="0"/>
          <c:showBubbleSize val="0"/>
        </c:dLbls>
        <c:marker val="1"/>
        <c:smooth val="0"/>
        <c:axId val="-1802442112"/>
        <c:axId val="-1802441024"/>
      </c:lineChart>
      <c:catAx>
        <c:axId val="-180243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4832"/>
        <c:crosses val="autoZero"/>
        <c:auto val="1"/>
        <c:lblAlgn val="ctr"/>
        <c:lblOffset val="100"/>
        <c:noMultiLvlLbl val="0"/>
      </c:catAx>
      <c:valAx>
        <c:axId val="-1802444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39392"/>
        <c:crosses val="autoZero"/>
        <c:crossBetween val="between"/>
        <c:dispUnits>
          <c:builtInUnit val="thousands"/>
        </c:dispUnits>
      </c:valAx>
      <c:valAx>
        <c:axId val="-180244102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2112"/>
        <c:crosses val="max"/>
        <c:crossBetween val="between"/>
      </c:valAx>
      <c:catAx>
        <c:axId val="-1802442112"/>
        <c:scaling>
          <c:orientation val="minMax"/>
        </c:scaling>
        <c:delete val="1"/>
        <c:axPos val="b"/>
        <c:numFmt formatCode="General" sourceLinked="1"/>
        <c:majorTickMark val="out"/>
        <c:minorTickMark val="none"/>
        <c:tickLblPos val="nextTo"/>
        <c:crossAx val="-1802441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3859321630836"/>
          <c:y val="2.0638162720887209E-2"/>
          <c:w val="0.87446140678369166"/>
          <c:h val="0.7623267833038837"/>
        </c:manualLayout>
      </c:layout>
      <c:barChart>
        <c:barDir val="col"/>
        <c:grouping val="clustered"/>
        <c:varyColors val="0"/>
        <c:ser>
          <c:idx val="1"/>
          <c:order val="0"/>
          <c:tx>
            <c:strRef>
              <c:f>eprt!$B$17</c:f>
              <c:strCache>
                <c:ptCount val="1"/>
                <c:pt idx="0">
                  <c:v>Presupuesto Reprogramado total</c:v>
                </c:pt>
              </c:strCache>
            </c:strRef>
          </c:tx>
          <c:spPr>
            <a:solidFill>
              <a:schemeClr val="accent2"/>
            </a:solidFill>
            <a:ln>
              <a:noFill/>
            </a:ln>
            <a:effectLst/>
          </c:spPr>
          <c:invertIfNegative val="0"/>
          <c:cat>
            <c:numRef>
              <c:extLst>
                <c:ext xmlns:c15="http://schemas.microsoft.com/office/drawing/2012/chart" uri="{02D57815-91ED-43cb-92C2-25804820EDAC}">
                  <c15:fullRef>
                    <c15:sqref>eprt!$A$19:$A$25</c15:sqref>
                  </c15:fullRef>
                </c:ext>
              </c:extLst>
              <c:f>eprt!$A$19:$A$22</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eprt!$B$19:$B$25</c15:sqref>
                  </c15:fullRef>
                </c:ext>
              </c:extLst>
              <c:f>eprt!$B$19:$B$22</c:f>
              <c:numCache>
                <c:formatCode>General</c:formatCode>
                <c:ptCount val="4"/>
                <c:pt idx="0">
                  <c:v>1512433.503</c:v>
                </c:pt>
                <c:pt idx="1">
                  <c:v>1457643.3670000001</c:v>
                </c:pt>
                <c:pt idx="2">
                  <c:v>1609932.3870000001</c:v>
                </c:pt>
                <c:pt idx="3">
                  <c:v>1725174.2520000001</c:v>
                </c:pt>
              </c:numCache>
            </c:numRef>
          </c:val>
          <c:extLst>
            <c:ext xmlns:c16="http://schemas.microsoft.com/office/drawing/2014/chart" uri="{C3380CC4-5D6E-409C-BE32-E72D297353CC}">
              <c16:uniqueId val="{00000000-633E-41F5-B884-EF34901C0ED4}"/>
            </c:ext>
          </c:extLst>
        </c:ser>
        <c:ser>
          <c:idx val="2"/>
          <c:order val="1"/>
          <c:tx>
            <c:strRef>
              <c:f>eprt!$C$17</c:f>
              <c:strCache>
                <c:ptCount val="1"/>
                <c:pt idx="0">
                  <c:v>Presupuesto
Ejercido Total</c:v>
                </c:pt>
              </c:strCache>
            </c:strRef>
          </c:tx>
          <c:spPr>
            <a:solidFill>
              <a:schemeClr val="accent3"/>
            </a:solidFill>
            <a:ln>
              <a:noFill/>
            </a:ln>
            <a:effectLst/>
          </c:spPr>
          <c:invertIfNegative val="0"/>
          <c:cat>
            <c:numRef>
              <c:extLst>
                <c:ext xmlns:c15="http://schemas.microsoft.com/office/drawing/2012/chart" uri="{02D57815-91ED-43cb-92C2-25804820EDAC}">
                  <c15:fullRef>
                    <c15:sqref>eprt!$A$19:$A$25</c15:sqref>
                  </c15:fullRef>
                </c:ext>
              </c:extLst>
              <c:f>eprt!$A$19:$A$22</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eprt!$C$19:$C$25</c15:sqref>
                  </c15:fullRef>
                </c:ext>
              </c:extLst>
              <c:f>eprt!$C$19:$C$22</c:f>
              <c:numCache>
                <c:formatCode>General</c:formatCode>
                <c:ptCount val="4"/>
                <c:pt idx="0">
                  <c:v>1511221.007</c:v>
                </c:pt>
                <c:pt idx="1">
                  <c:v>1422248.821</c:v>
                </c:pt>
                <c:pt idx="2">
                  <c:v>1597687.4310000001</c:v>
                </c:pt>
                <c:pt idx="3">
                  <c:v>1716208.933</c:v>
                </c:pt>
              </c:numCache>
            </c:numRef>
          </c:val>
          <c:extLst>
            <c:ext xmlns:c16="http://schemas.microsoft.com/office/drawing/2014/chart" uri="{C3380CC4-5D6E-409C-BE32-E72D297353CC}">
              <c16:uniqueId val="{00000001-633E-41F5-B884-EF34901C0ED4}"/>
            </c:ext>
          </c:extLst>
        </c:ser>
        <c:dLbls>
          <c:showLegendKey val="0"/>
          <c:showVal val="0"/>
          <c:showCatName val="0"/>
          <c:showSerName val="0"/>
          <c:showPercent val="0"/>
          <c:showBubbleSize val="0"/>
        </c:dLbls>
        <c:gapWidth val="0"/>
        <c:axId val="-1802444288"/>
        <c:axId val="-1802440480"/>
      </c:barChart>
      <c:lineChart>
        <c:grouping val="standard"/>
        <c:varyColors val="0"/>
        <c:ser>
          <c:idx val="3"/>
          <c:order val="2"/>
          <c:tx>
            <c:strRef>
              <c:f>eprt!$D$17</c:f>
              <c:strCache>
                <c:ptCount val="1"/>
                <c:pt idx="0">
                  <c:v>Evolución del Presupuesto Reprogramado Total</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eprt!$A$19:$A$25</c15:sqref>
                  </c15:fullRef>
                </c:ext>
              </c:extLst>
              <c:f>eprt!$A$19:$A$22</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eprt!$D$19:$D$25</c15:sqref>
                  </c15:fullRef>
                </c:ext>
              </c:extLst>
              <c:f>eprt!$D$19:$D$22</c:f>
              <c:numCache>
                <c:formatCode>General</c:formatCode>
                <c:ptCount val="4"/>
                <c:pt idx="0">
                  <c:v>99.919831450599645</c:v>
                </c:pt>
                <c:pt idx="1">
                  <c:v>97.571796586098685</c:v>
                </c:pt>
                <c:pt idx="2">
                  <c:v>99.239411785309954</c:v>
                </c:pt>
                <c:pt idx="3">
                  <c:v>99.480323857743258</c:v>
                </c:pt>
              </c:numCache>
            </c:numRef>
          </c:val>
          <c:smooth val="0"/>
          <c:extLst>
            <c:ext xmlns:c16="http://schemas.microsoft.com/office/drawing/2014/chart" uri="{C3380CC4-5D6E-409C-BE32-E72D297353CC}">
              <c16:uniqueId val="{00000002-633E-41F5-B884-EF34901C0ED4}"/>
            </c:ext>
          </c:extLst>
        </c:ser>
        <c:dLbls>
          <c:showLegendKey val="0"/>
          <c:showVal val="0"/>
          <c:showCatName val="0"/>
          <c:showSerName val="0"/>
          <c:showPercent val="0"/>
          <c:showBubbleSize val="0"/>
        </c:dLbls>
        <c:marker val="1"/>
        <c:smooth val="0"/>
        <c:axId val="-1802437216"/>
        <c:axId val="-1802439936"/>
      </c:lineChart>
      <c:catAx>
        <c:axId val="-180244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0480"/>
        <c:crosses val="autoZero"/>
        <c:auto val="1"/>
        <c:lblAlgn val="ctr"/>
        <c:lblOffset val="100"/>
        <c:noMultiLvlLbl val="0"/>
      </c:catAx>
      <c:valAx>
        <c:axId val="-18024404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44288"/>
        <c:crosses val="autoZero"/>
        <c:crossBetween val="between"/>
        <c:dispUnits>
          <c:builtInUnit val="thousands"/>
        </c:dispUnits>
      </c:valAx>
      <c:valAx>
        <c:axId val="-1802439936"/>
        <c:scaling>
          <c:orientation val="minMax"/>
          <c:min val="9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2437216"/>
        <c:crosses val="max"/>
        <c:crossBetween val="between"/>
      </c:valAx>
      <c:catAx>
        <c:axId val="-1802437216"/>
        <c:scaling>
          <c:orientation val="minMax"/>
        </c:scaling>
        <c:delete val="1"/>
        <c:axPos val="b"/>
        <c:numFmt formatCode="General" sourceLinked="1"/>
        <c:majorTickMark val="out"/>
        <c:minorTickMark val="none"/>
        <c:tickLblPos val="nextTo"/>
        <c:crossAx val="-1802439936"/>
        <c:crosses val="autoZero"/>
        <c:auto val="1"/>
        <c:lblAlgn val="ctr"/>
        <c:lblOffset val="100"/>
        <c:noMultiLvlLbl val="0"/>
      </c:catAx>
      <c:spPr>
        <a:noFill/>
        <a:ln>
          <a:noFill/>
        </a:ln>
        <a:effectLst/>
      </c:spPr>
    </c:plotArea>
    <c:legend>
      <c:legendPos val="b"/>
      <c:layout>
        <c:manualLayout>
          <c:xMode val="edge"/>
          <c:yMode val="edge"/>
          <c:x val="2.1941813081162054E-2"/>
          <c:y val="0.89553342980020456"/>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epr!$B$17</c:f>
              <c:strCache>
                <c:ptCount val="1"/>
                <c:pt idx="0">
                  <c:v>Presupuesto Reprogramado
(Recursos Fiscales)</c:v>
                </c:pt>
              </c:strCache>
            </c:strRef>
          </c:tx>
          <c:spPr>
            <a:solidFill>
              <a:schemeClr val="accent2"/>
            </a:solidFill>
            <a:ln>
              <a:noFill/>
            </a:ln>
            <a:effectLst/>
          </c:spPr>
          <c:invertIfNegative val="0"/>
          <c:cat>
            <c:numRef>
              <c:extLst>
                <c:ext xmlns:c15="http://schemas.microsoft.com/office/drawing/2012/chart" uri="{02D57815-91ED-43cb-92C2-25804820EDAC}">
                  <c15:fullRef>
                    <c15:sqref>epr!$A$18:$A$25</c15:sqref>
                  </c15:fullRef>
                </c:ext>
              </c:extLst>
              <c:f>epr!$A$18:$A$22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epr!$B$18:$B$25</c15:sqref>
                  </c15:fullRef>
                </c:ext>
              </c:extLst>
              <c:f>epr!$B$18:$B$22</c:f>
              <c:numCache>
                <c:formatCode>General</c:formatCode>
                <c:ptCount val="5"/>
                <c:pt idx="0">
                  <c:v>1528166.3060000001</c:v>
                </c:pt>
                <c:pt idx="1">
                  <c:v>1463719.9280000001</c:v>
                </c:pt>
                <c:pt idx="2">
                  <c:v>1388683.6850000001</c:v>
                </c:pt>
                <c:pt idx="3">
                  <c:v>1569932.3870000001</c:v>
                </c:pt>
                <c:pt idx="4">
                  <c:v>1680174.2520000001</c:v>
                </c:pt>
              </c:numCache>
            </c:numRef>
          </c:val>
          <c:extLst>
            <c:ext xmlns:c16="http://schemas.microsoft.com/office/drawing/2014/chart" uri="{C3380CC4-5D6E-409C-BE32-E72D297353CC}">
              <c16:uniqueId val="{00000000-FA01-4058-AB92-314B8F4156C6}"/>
            </c:ext>
          </c:extLst>
        </c:ser>
        <c:ser>
          <c:idx val="2"/>
          <c:order val="1"/>
          <c:tx>
            <c:strRef>
              <c:f>epr!$C$17</c:f>
              <c:strCache>
                <c:ptCount val="1"/>
                <c:pt idx="0">
                  <c:v>Presupuesto Ejercido (Recursos Fiscales)</c:v>
                </c:pt>
              </c:strCache>
            </c:strRef>
          </c:tx>
          <c:spPr>
            <a:solidFill>
              <a:schemeClr val="accent3"/>
            </a:solidFill>
            <a:ln>
              <a:noFill/>
            </a:ln>
            <a:effectLst/>
          </c:spPr>
          <c:invertIfNegative val="0"/>
          <c:cat>
            <c:numRef>
              <c:extLst>
                <c:ext xmlns:c15="http://schemas.microsoft.com/office/drawing/2012/chart" uri="{02D57815-91ED-43cb-92C2-25804820EDAC}">
                  <c15:fullRef>
                    <c15:sqref>epr!$A$18:$A$25</c15:sqref>
                  </c15:fullRef>
                </c:ext>
              </c:extLst>
              <c:f>epr!$A$18:$A$22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epr!$C$18:$C$25</c15:sqref>
                  </c15:fullRef>
                </c:ext>
              </c:extLst>
              <c:f>epr!$C$18:$C$22</c:f>
              <c:numCache>
                <c:formatCode>General</c:formatCode>
                <c:ptCount val="5"/>
                <c:pt idx="0">
                  <c:v>1528166.3060000001</c:v>
                </c:pt>
                <c:pt idx="1">
                  <c:v>1463719.9280000001</c:v>
                </c:pt>
                <c:pt idx="2">
                  <c:v>1388683.6850000001</c:v>
                </c:pt>
                <c:pt idx="3">
                  <c:v>1569932.3870000001</c:v>
                </c:pt>
                <c:pt idx="4">
                  <c:v>1680174.2520000001</c:v>
                </c:pt>
              </c:numCache>
            </c:numRef>
          </c:val>
          <c:extLst>
            <c:ext xmlns:c16="http://schemas.microsoft.com/office/drawing/2014/chart" uri="{C3380CC4-5D6E-409C-BE32-E72D297353CC}">
              <c16:uniqueId val="{00000001-FA01-4058-AB92-314B8F4156C6}"/>
            </c:ext>
          </c:extLst>
        </c:ser>
        <c:dLbls>
          <c:showLegendKey val="0"/>
          <c:showVal val="0"/>
          <c:showCatName val="0"/>
          <c:showSerName val="0"/>
          <c:showPercent val="0"/>
          <c:showBubbleSize val="0"/>
        </c:dLbls>
        <c:gapWidth val="0"/>
        <c:axId val="-2014045088"/>
        <c:axId val="-2014044000"/>
      </c:barChart>
      <c:lineChart>
        <c:grouping val="standard"/>
        <c:varyColors val="0"/>
        <c:ser>
          <c:idx val="3"/>
          <c:order val="2"/>
          <c:tx>
            <c:strRef>
              <c:f>epr!$D$17</c:f>
              <c:strCache>
                <c:ptCount val="1"/>
                <c:pt idx="0">
                  <c:v>Evolución del Presupuesto Reprogramado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epr!$A$18:$A$25</c15:sqref>
                  </c15:fullRef>
                </c:ext>
              </c:extLst>
              <c:f>epr!$A$18:$A$22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epr!$D$18:$D$25</c15:sqref>
                  </c15:fullRef>
                </c:ext>
              </c:extLst>
              <c:f>epr!$D$18:$D$22</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A01-4058-AB92-314B8F4156C6}"/>
            </c:ext>
          </c:extLst>
        </c:ser>
        <c:dLbls>
          <c:showLegendKey val="0"/>
          <c:showVal val="0"/>
          <c:showCatName val="0"/>
          <c:showSerName val="0"/>
          <c:showPercent val="0"/>
          <c:showBubbleSize val="0"/>
        </c:dLbls>
        <c:marker val="1"/>
        <c:smooth val="0"/>
        <c:axId val="-2014045632"/>
        <c:axId val="-2014046176"/>
      </c:lineChart>
      <c:catAx>
        <c:axId val="-20140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14044000"/>
        <c:crosses val="autoZero"/>
        <c:auto val="1"/>
        <c:lblAlgn val="ctr"/>
        <c:lblOffset val="100"/>
        <c:noMultiLvlLbl val="0"/>
      </c:catAx>
      <c:valAx>
        <c:axId val="-20140440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14045088"/>
        <c:crosses val="autoZero"/>
        <c:crossBetween val="between"/>
        <c:dispUnits>
          <c:builtInUnit val="thousands"/>
        </c:dispUnits>
      </c:valAx>
      <c:valAx>
        <c:axId val="-2014046176"/>
        <c:scaling>
          <c:orientation val="minMax"/>
          <c:max val="100"/>
          <c:min val="99"/>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14045632"/>
        <c:crosses val="max"/>
        <c:crossBetween val="between"/>
      </c:valAx>
      <c:catAx>
        <c:axId val="-2014045632"/>
        <c:scaling>
          <c:orientation val="minMax"/>
        </c:scaling>
        <c:delete val="1"/>
        <c:axPos val="b"/>
        <c:numFmt formatCode="General" sourceLinked="1"/>
        <c:majorTickMark val="out"/>
        <c:minorTickMark val="none"/>
        <c:tickLblPos val="nextTo"/>
        <c:crossAx val="-2014046176"/>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egc!$B$17</c:f>
              <c:strCache>
                <c:ptCount val="1"/>
                <c:pt idx="0">
                  <c:v>Presupuesto Reprogramado
(Gasto Corriente)</c:v>
                </c:pt>
              </c:strCache>
            </c:strRef>
          </c:tx>
          <c:spPr>
            <a:solidFill>
              <a:schemeClr val="accent2"/>
            </a:solidFill>
            <a:ln>
              <a:noFill/>
            </a:ln>
            <a:effectLst/>
          </c:spPr>
          <c:invertIfNegative val="0"/>
          <c:cat>
            <c:numRef>
              <c:extLst>
                <c:ext xmlns:c15="http://schemas.microsoft.com/office/drawing/2012/chart" uri="{02D57815-91ED-43cb-92C2-25804820EDAC}">
                  <c15:fullRef>
                    <c15:sqref>egc!$A$18:$A$25</c15:sqref>
                  </c15:fullRef>
                </c:ext>
              </c:extLst>
              <c:f>egc!$A$18:$A$22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egc!$B$18:$B$25</c15:sqref>
                  </c15:fullRef>
                </c:ext>
              </c:extLst>
              <c:f>egc!$B$18:$B$22</c:f>
              <c:numCache>
                <c:formatCode>General</c:formatCode>
                <c:ptCount val="5"/>
                <c:pt idx="0">
                  <c:v>1579519.281</c:v>
                </c:pt>
                <c:pt idx="1">
                  <c:v>1512199.0530000001</c:v>
                </c:pt>
                <c:pt idx="2">
                  <c:v>1457643.3670000001</c:v>
                </c:pt>
                <c:pt idx="3">
                  <c:v>1609932.3870000001</c:v>
                </c:pt>
                <c:pt idx="4">
                  <c:v>1725174.2520000001</c:v>
                </c:pt>
              </c:numCache>
            </c:numRef>
          </c:val>
          <c:extLst>
            <c:ext xmlns:c16="http://schemas.microsoft.com/office/drawing/2014/chart" uri="{C3380CC4-5D6E-409C-BE32-E72D297353CC}">
              <c16:uniqueId val="{00000000-FA8D-43B7-A435-4A8E51698536}"/>
            </c:ext>
          </c:extLst>
        </c:ser>
        <c:ser>
          <c:idx val="2"/>
          <c:order val="1"/>
          <c:tx>
            <c:strRef>
              <c:f>egc!$C$17</c:f>
              <c:strCache>
                <c:ptCount val="1"/>
                <c:pt idx="0">
                  <c:v>Presupuesto Ejercido (Gasto Corriente)</c:v>
                </c:pt>
              </c:strCache>
            </c:strRef>
          </c:tx>
          <c:spPr>
            <a:solidFill>
              <a:schemeClr val="accent3"/>
            </a:solidFill>
            <a:ln>
              <a:noFill/>
            </a:ln>
            <a:effectLst/>
          </c:spPr>
          <c:invertIfNegative val="0"/>
          <c:cat>
            <c:numRef>
              <c:extLst>
                <c:ext xmlns:c15="http://schemas.microsoft.com/office/drawing/2012/chart" uri="{02D57815-91ED-43cb-92C2-25804820EDAC}">
                  <c15:fullRef>
                    <c15:sqref>egc!$A$18:$A$25</c15:sqref>
                  </c15:fullRef>
                </c:ext>
              </c:extLst>
              <c:f>egc!$A$18:$A$22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egc!$C$18:$C$25</c15:sqref>
                  </c15:fullRef>
                </c:ext>
              </c:extLst>
              <c:f>egc!$C$18:$C$22</c:f>
              <c:numCache>
                <c:formatCode>General</c:formatCode>
                <c:ptCount val="5"/>
                <c:pt idx="0">
                  <c:v>1574833.44</c:v>
                </c:pt>
                <c:pt idx="1">
                  <c:v>1510986.557</c:v>
                </c:pt>
                <c:pt idx="2">
                  <c:v>1422248.821</c:v>
                </c:pt>
                <c:pt idx="3">
                  <c:v>1597687.4310000001</c:v>
                </c:pt>
                <c:pt idx="4">
                  <c:v>1716208.933</c:v>
                </c:pt>
              </c:numCache>
            </c:numRef>
          </c:val>
          <c:extLst>
            <c:ext xmlns:c16="http://schemas.microsoft.com/office/drawing/2014/chart" uri="{C3380CC4-5D6E-409C-BE32-E72D297353CC}">
              <c16:uniqueId val="{00000001-FA8D-43B7-A435-4A8E51698536}"/>
            </c:ext>
          </c:extLst>
        </c:ser>
        <c:dLbls>
          <c:showLegendKey val="0"/>
          <c:showVal val="0"/>
          <c:showCatName val="0"/>
          <c:showSerName val="0"/>
          <c:showPercent val="0"/>
          <c:showBubbleSize val="0"/>
        </c:dLbls>
        <c:gapWidth val="0"/>
        <c:axId val="-1746287216"/>
        <c:axId val="-1746286128"/>
      </c:barChart>
      <c:lineChart>
        <c:grouping val="standard"/>
        <c:varyColors val="0"/>
        <c:ser>
          <c:idx val="3"/>
          <c:order val="2"/>
          <c:tx>
            <c:strRef>
              <c:f>egc!$D$17</c:f>
              <c:strCache>
                <c:ptCount val="1"/>
                <c:pt idx="0">
                  <c:v>Evolución del Gasto Corriente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egc!$A$18:$A$24</c15:sqref>
                  </c15:fullRef>
                </c:ext>
              </c:extLst>
              <c:f>egc!$A$18:$A$22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egc!$D$18:$D$25</c15:sqref>
                  </c15:fullRef>
                </c:ext>
              </c:extLst>
              <c:f>egc!$D$18:$D$22</c:f>
              <c:numCache>
                <c:formatCode>General</c:formatCode>
                <c:ptCount val="5"/>
                <c:pt idx="0">
                  <c:v>99.70333752450091</c:v>
                </c:pt>
                <c:pt idx="1">
                  <c:v>99.919819021338853</c:v>
                </c:pt>
                <c:pt idx="2">
                  <c:v>97.571796586098685</c:v>
                </c:pt>
                <c:pt idx="3">
                  <c:v>99.239411785309954</c:v>
                </c:pt>
                <c:pt idx="4">
                  <c:v>99.480323857743258</c:v>
                </c:pt>
              </c:numCache>
            </c:numRef>
          </c:val>
          <c:smooth val="0"/>
          <c:extLst>
            <c:ext xmlns:c16="http://schemas.microsoft.com/office/drawing/2014/chart" uri="{C3380CC4-5D6E-409C-BE32-E72D297353CC}">
              <c16:uniqueId val="{00000002-FA8D-43B7-A435-4A8E51698536}"/>
            </c:ext>
          </c:extLst>
        </c:ser>
        <c:dLbls>
          <c:showLegendKey val="0"/>
          <c:showVal val="0"/>
          <c:showCatName val="0"/>
          <c:showSerName val="0"/>
          <c:showPercent val="0"/>
          <c:showBubbleSize val="0"/>
        </c:dLbls>
        <c:marker val="1"/>
        <c:smooth val="0"/>
        <c:axId val="-1746291568"/>
        <c:axId val="-1746279600"/>
      </c:lineChart>
      <c:catAx>
        <c:axId val="-174628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46286128"/>
        <c:crosses val="autoZero"/>
        <c:auto val="1"/>
        <c:lblAlgn val="ctr"/>
        <c:lblOffset val="100"/>
        <c:noMultiLvlLbl val="0"/>
      </c:catAx>
      <c:valAx>
        <c:axId val="-1746286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46287216"/>
        <c:crosses val="autoZero"/>
        <c:crossBetween val="between"/>
        <c:dispUnits>
          <c:builtInUnit val="thousands"/>
        </c:dispUnits>
      </c:valAx>
      <c:valAx>
        <c:axId val="-1746279600"/>
        <c:scaling>
          <c:orientation val="minMax"/>
          <c:min val="8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746291568"/>
        <c:crosses val="max"/>
        <c:crossBetween val="between"/>
      </c:valAx>
      <c:catAx>
        <c:axId val="-1746291568"/>
        <c:scaling>
          <c:orientation val="minMax"/>
        </c:scaling>
        <c:delete val="1"/>
        <c:axPos val="b"/>
        <c:numFmt formatCode="General" sourceLinked="1"/>
        <c:majorTickMark val="out"/>
        <c:minorTickMark val="none"/>
        <c:tickLblPos val="nextTo"/>
        <c:crossAx val="-174627960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egi!$B$17</c:f>
              <c:strCache>
                <c:ptCount val="1"/>
                <c:pt idx="0">
                  <c:v>Presupuesto Reprogramado
(Gasto de Inversión)</c:v>
                </c:pt>
              </c:strCache>
            </c:strRef>
          </c:tx>
          <c:spPr>
            <a:solidFill>
              <a:schemeClr val="accent2"/>
            </a:solidFill>
            <a:ln>
              <a:noFill/>
            </a:ln>
            <a:effectLst/>
          </c:spPr>
          <c:invertIfNegative val="0"/>
          <c:cat>
            <c:numRef>
              <c:extLst>
                <c:ext xmlns:c15="http://schemas.microsoft.com/office/drawing/2012/chart" uri="{02D57815-91ED-43cb-92C2-25804820EDAC}">
                  <c15:fullRef>
                    <c15:sqref>egi!$A$18:$A$25</c15:sqref>
                  </c15:fullRef>
                </c:ext>
              </c:extLst>
              <c:f>egi!$A$18:$A$22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egi!$B$18:$B$25</c15:sqref>
                  </c15:fullRef>
                </c:ext>
              </c:extLst>
              <c:f>egi!$B$18:$B$22</c:f>
              <c:numCache>
                <c:formatCode>General</c:formatCode>
                <c:ptCount val="5"/>
                <c:pt idx="0">
                  <c:v>3647.0250000000001</c:v>
                </c:pt>
                <c:pt idx="1">
                  <c:v>234.45</c:v>
                </c:pt>
                <c:pt idx="2">
                  <c:v>0</c:v>
                </c:pt>
                <c:pt idx="3">
                  <c:v>0</c:v>
                </c:pt>
                <c:pt idx="4">
                  <c:v>0</c:v>
                </c:pt>
              </c:numCache>
            </c:numRef>
          </c:val>
          <c:extLst>
            <c:ext xmlns:c16="http://schemas.microsoft.com/office/drawing/2014/chart" uri="{C3380CC4-5D6E-409C-BE32-E72D297353CC}">
              <c16:uniqueId val="{00000000-E553-4031-B4BE-53D07B879BBC}"/>
            </c:ext>
          </c:extLst>
        </c:ser>
        <c:ser>
          <c:idx val="2"/>
          <c:order val="1"/>
          <c:tx>
            <c:strRef>
              <c:f>egi!$C$17</c:f>
              <c:strCache>
                <c:ptCount val="1"/>
                <c:pt idx="0">
                  <c:v>Presupuesto Ejercido (Gasto de Inversión)</c:v>
                </c:pt>
              </c:strCache>
            </c:strRef>
          </c:tx>
          <c:spPr>
            <a:solidFill>
              <a:schemeClr val="accent3"/>
            </a:solidFill>
            <a:ln>
              <a:noFill/>
            </a:ln>
            <a:effectLst/>
          </c:spPr>
          <c:invertIfNegative val="0"/>
          <c:cat>
            <c:numRef>
              <c:extLst>
                <c:ext xmlns:c15="http://schemas.microsoft.com/office/drawing/2012/chart" uri="{02D57815-91ED-43cb-92C2-25804820EDAC}">
                  <c15:fullRef>
                    <c15:sqref>egi!$A$18:$A$25</c15:sqref>
                  </c15:fullRef>
                </c:ext>
              </c:extLst>
              <c:f>egi!$A$18:$A$22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egi!$C$18:$C$25</c15:sqref>
                  </c15:fullRef>
                </c:ext>
              </c:extLst>
              <c:f>egi!$C$18:$C$22</c:f>
              <c:numCache>
                <c:formatCode>General</c:formatCode>
                <c:ptCount val="5"/>
                <c:pt idx="0">
                  <c:v>3647.0250000000001</c:v>
                </c:pt>
                <c:pt idx="1">
                  <c:v>234.45</c:v>
                </c:pt>
                <c:pt idx="2">
                  <c:v>0</c:v>
                </c:pt>
                <c:pt idx="3">
                  <c:v>0</c:v>
                </c:pt>
                <c:pt idx="4">
                  <c:v>0</c:v>
                </c:pt>
              </c:numCache>
            </c:numRef>
          </c:val>
          <c:extLst>
            <c:ext xmlns:c16="http://schemas.microsoft.com/office/drawing/2014/chart" uri="{C3380CC4-5D6E-409C-BE32-E72D297353CC}">
              <c16:uniqueId val="{00000001-E553-4031-B4BE-53D07B879BBC}"/>
            </c:ext>
          </c:extLst>
        </c:ser>
        <c:dLbls>
          <c:showLegendKey val="0"/>
          <c:showVal val="0"/>
          <c:showCatName val="0"/>
          <c:showSerName val="0"/>
          <c:showPercent val="0"/>
          <c:showBubbleSize val="0"/>
        </c:dLbls>
        <c:gapWidth val="0"/>
        <c:axId val="-1570664208"/>
        <c:axId val="-1570675088"/>
      </c:barChart>
      <c:lineChart>
        <c:grouping val="standard"/>
        <c:varyColors val="0"/>
        <c:ser>
          <c:idx val="3"/>
          <c:order val="2"/>
          <c:tx>
            <c:strRef>
              <c:f>egi!$D$17</c:f>
              <c:strCache>
                <c:ptCount val="1"/>
                <c:pt idx="0">
                  <c:v>Evolución del Gasto de Inversión</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egi!$A$18:$A$24</c15:sqref>
                  </c15:fullRef>
                </c:ext>
              </c:extLst>
              <c:f>egi!$A$18:$A$22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egi!$D$18:$D$25</c15:sqref>
                  </c15:fullRef>
                </c:ext>
              </c:extLst>
              <c:f>egi!$D$18:$D$22</c:f>
              <c:numCache>
                <c:formatCode>General</c:formatCode>
                <c:ptCount val="5"/>
                <c:pt idx="0">
                  <c:v>100</c:v>
                </c:pt>
                <c:pt idx="1">
                  <c:v>100</c:v>
                </c:pt>
                <c:pt idx="2">
                  <c:v>0</c:v>
                </c:pt>
                <c:pt idx="3">
                  <c:v>0</c:v>
                </c:pt>
                <c:pt idx="4">
                  <c:v>0</c:v>
                </c:pt>
              </c:numCache>
            </c:numRef>
          </c:val>
          <c:smooth val="0"/>
          <c:extLst>
            <c:ext xmlns:c16="http://schemas.microsoft.com/office/drawing/2014/chart" uri="{C3380CC4-5D6E-409C-BE32-E72D297353CC}">
              <c16:uniqueId val="{00000002-E553-4031-B4BE-53D07B879BBC}"/>
            </c:ext>
          </c:extLst>
        </c:ser>
        <c:dLbls>
          <c:showLegendKey val="0"/>
          <c:showVal val="0"/>
          <c:showCatName val="0"/>
          <c:showSerName val="0"/>
          <c:showPercent val="0"/>
          <c:showBubbleSize val="0"/>
        </c:dLbls>
        <c:marker val="1"/>
        <c:smooth val="0"/>
        <c:axId val="-1570668016"/>
        <c:axId val="-1570663120"/>
      </c:lineChart>
      <c:catAx>
        <c:axId val="-157066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75088"/>
        <c:crosses val="autoZero"/>
        <c:auto val="1"/>
        <c:lblAlgn val="ctr"/>
        <c:lblOffset val="100"/>
        <c:noMultiLvlLbl val="0"/>
      </c:catAx>
      <c:valAx>
        <c:axId val="-15706750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4208"/>
        <c:crosses val="autoZero"/>
        <c:crossBetween val="between"/>
        <c:dispUnits>
          <c:builtInUnit val="thousands"/>
        </c:dispUnits>
      </c:valAx>
      <c:valAx>
        <c:axId val="-1570663120"/>
        <c:scaling>
          <c:orientation val="minMax"/>
          <c:min val="8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8016"/>
        <c:crosses val="max"/>
        <c:crossBetween val="between"/>
      </c:valAx>
      <c:catAx>
        <c:axId val="-1570668016"/>
        <c:scaling>
          <c:orientation val="minMax"/>
        </c:scaling>
        <c:delete val="1"/>
        <c:axPos val="b"/>
        <c:numFmt formatCode="General" sourceLinked="1"/>
        <c:majorTickMark val="out"/>
        <c:minorTickMark val="none"/>
        <c:tickLblPos val="nextTo"/>
        <c:crossAx val="-157066312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auto!$B$17</c:f>
              <c:strCache>
                <c:ptCount val="1"/>
                <c:pt idx="0">
                  <c:v>Presupuesto Ejercido Total</c:v>
                </c:pt>
              </c:strCache>
            </c:strRef>
          </c:tx>
          <c:spPr>
            <a:solidFill>
              <a:schemeClr val="accent2"/>
            </a:solidFill>
            <a:ln>
              <a:noFill/>
            </a:ln>
            <a:effectLst/>
          </c:spPr>
          <c:invertIfNegative val="0"/>
          <c:cat>
            <c:numRef>
              <c:extLst>
                <c:ext xmlns:c15="http://schemas.microsoft.com/office/drawing/2012/chart" uri="{02D57815-91ED-43cb-92C2-25804820EDAC}">
                  <c15:fullRef>
                    <c15:sqref>auto!$A$18:$A$25</c15:sqref>
                  </c15:fullRef>
                </c:ext>
              </c:extLst>
              <c:f>auto!$A$18:$A$22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auto!$B$18:$B$25</c15:sqref>
                  </c15:fullRef>
                </c:ext>
              </c:extLst>
              <c:f>auto!$B$18:$B$22</c:f>
              <c:numCache>
                <c:formatCode>General</c:formatCode>
                <c:ptCount val="5"/>
                <c:pt idx="0">
                  <c:v>1578480.4650000001</c:v>
                </c:pt>
                <c:pt idx="1">
                  <c:v>1511221.007</c:v>
                </c:pt>
                <c:pt idx="2">
                  <c:v>1422248.821</c:v>
                </c:pt>
                <c:pt idx="3">
                  <c:v>1597687.4310000001</c:v>
                </c:pt>
                <c:pt idx="4">
                  <c:v>1716208.933</c:v>
                </c:pt>
              </c:numCache>
            </c:numRef>
          </c:val>
          <c:extLst>
            <c:ext xmlns:c16="http://schemas.microsoft.com/office/drawing/2014/chart" uri="{C3380CC4-5D6E-409C-BE32-E72D297353CC}">
              <c16:uniqueId val="{00000000-97CD-4C47-B063-327759D20C03}"/>
            </c:ext>
          </c:extLst>
        </c:ser>
        <c:ser>
          <c:idx val="2"/>
          <c:order val="1"/>
          <c:tx>
            <c:strRef>
              <c:f>auto!$C$17</c:f>
              <c:strCache>
                <c:ptCount val="1"/>
                <c:pt idx="0">
                  <c:v>Ingresos Propios ejercidos</c:v>
                </c:pt>
              </c:strCache>
            </c:strRef>
          </c:tx>
          <c:spPr>
            <a:solidFill>
              <a:schemeClr val="accent3"/>
            </a:solidFill>
            <a:ln>
              <a:noFill/>
            </a:ln>
            <a:effectLst/>
          </c:spPr>
          <c:invertIfNegative val="0"/>
          <c:cat>
            <c:numRef>
              <c:extLst>
                <c:ext xmlns:c15="http://schemas.microsoft.com/office/drawing/2012/chart" uri="{02D57815-91ED-43cb-92C2-25804820EDAC}">
                  <c15:fullRef>
                    <c15:sqref>auto!$A$18:$A$25</c15:sqref>
                  </c15:fullRef>
                </c:ext>
              </c:extLst>
              <c:f>auto!$A$18:$A$22</c:f>
              <c:numCache>
                <c:formatCode>General</c:formatCode>
                <c:ptCount val="5"/>
                <c:pt idx="0">
                  <c:v>2018</c:v>
                </c:pt>
                <c:pt idx="1">
                  <c:v>2019</c:v>
                </c:pt>
                <c:pt idx="2">
                  <c:v>2020</c:v>
                </c:pt>
                <c:pt idx="3">
                  <c:v>2021</c:v>
                </c:pt>
                <c:pt idx="4">
                  <c:v>2022</c:v>
                </c:pt>
                <c:pt idx="5">
                  <c:v>0</c:v>
                </c:pt>
              </c:numCache>
            </c:numRef>
          </c:cat>
          <c:val>
            <c:numRef>
              <c:extLst>
                <c:ext xmlns:c15="http://schemas.microsoft.com/office/drawing/2012/chart" uri="{02D57815-91ED-43cb-92C2-25804820EDAC}">
                  <c15:fullRef>
                    <c15:sqref>auto!$C$18:$C$24</c15:sqref>
                  </c15:fullRef>
                </c:ext>
              </c:extLst>
              <c:f>auto!$C$18:$C$22</c:f>
              <c:numCache>
                <c:formatCode>General</c:formatCode>
                <c:ptCount val="5"/>
                <c:pt idx="0">
                  <c:v>50314.159</c:v>
                </c:pt>
                <c:pt idx="1">
                  <c:v>47501.078999999998</c:v>
                </c:pt>
                <c:pt idx="2">
                  <c:v>33565.135999999999</c:v>
                </c:pt>
                <c:pt idx="3">
                  <c:v>27755.044000000002</c:v>
                </c:pt>
                <c:pt idx="4">
                  <c:v>36034.680999999997</c:v>
                </c:pt>
              </c:numCache>
            </c:numRef>
          </c:val>
          <c:extLst>
            <c:ext xmlns:c16="http://schemas.microsoft.com/office/drawing/2014/chart" uri="{C3380CC4-5D6E-409C-BE32-E72D297353CC}">
              <c16:uniqueId val="{00000001-97CD-4C47-B063-327759D20C03}"/>
            </c:ext>
          </c:extLst>
        </c:ser>
        <c:dLbls>
          <c:showLegendKey val="0"/>
          <c:showVal val="0"/>
          <c:showCatName val="0"/>
          <c:showSerName val="0"/>
          <c:showPercent val="0"/>
          <c:showBubbleSize val="0"/>
        </c:dLbls>
        <c:gapWidth val="0"/>
        <c:axId val="-1570674544"/>
        <c:axId val="-1570665296"/>
      </c:barChart>
      <c:lineChart>
        <c:grouping val="standard"/>
        <c:varyColors val="0"/>
        <c:ser>
          <c:idx val="3"/>
          <c:order val="2"/>
          <c:tx>
            <c:strRef>
              <c:f>auto!$D$17</c:f>
              <c:strCache>
                <c:ptCount val="1"/>
                <c:pt idx="0">
                  <c:v>Índice de Autofinancimiento</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auto!$A$18:$A$25</c15:sqref>
                  </c15:fullRef>
                </c:ext>
              </c:extLst>
              <c:f>auto!$A$18:$A$22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auto!$D$18:$D$25</c15:sqref>
                  </c15:fullRef>
                </c:ext>
              </c:extLst>
              <c:f>auto!$D$18:$D$22</c:f>
              <c:numCache>
                <c:formatCode>General</c:formatCode>
                <c:ptCount val="5"/>
                <c:pt idx="0">
                  <c:v>3.1875059663788745</c:v>
                </c:pt>
                <c:pt idx="1">
                  <c:v>3.1432251656094139</c:v>
                </c:pt>
                <c:pt idx="2">
                  <c:v>2.360004487569197</c:v>
                </c:pt>
                <c:pt idx="3">
                  <c:v>1.7372011234154847</c:v>
                </c:pt>
                <c:pt idx="4">
                  <c:v>2.0996674884455921</c:v>
                </c:pt>
              </c:numCache>
            </c:numRef>
          </c:val>
          <c:smooth val="0"/>
          <c:extLst>
            <c:ext xmlns:c16="http://schemas.microsoft.com/office/drawing/2014/chart" uri="{C3380CC4-5D6E-409C-BE32-E72D297353CC}">
              <c16:uniqueId val="{00000002-97CD-4C47-B063-327759D20C03}"/>
            </c:ext>
          </c:extLst>
        </c:ser>
        <c:dLbls>
          <c:showLegendKey val="0"/>
          <c:showVal val="0"/>
          <c:showCatName val="0"/>
          <c:showSerName val="0"/>
          <c:showPercent val="0"/>
          <c:showBubbleSize val="0"/>
        </c:dLbls>
        <c:marker val="1"/>
        <c:smooth val="0"/>
        <c:axId val="-1570668560"/>
        <c:axId val="-1570664752"/>
      </c:lineChart>
      <c:catAx>
        <c:axId val="-15706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5296"/>
        <c:crosses val="autoZero"/>
        <c:auto val="1"/>
        <c:lblAlgn val="ctr"/>
        <c:lblOffset val="100"/>
        <c:noMultiLvlLbl val="0"/>
      </c:catAx>
      <c:valAx>
        <c:axId val="-15706652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74544"/>
        <c:crosses val="autoZero"/>
        <c:crossBetween val="between"/>
        <c:dispUnits>
          <c:builtInUnit val="thousands"/>
        </c:dispUnits>
      </c:valAx>
      <c:valAx>
        <c:axId val="-1570664752"/>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8560"/>
        <c:crosses val="max"/>
        <c:crossBetween val="between"/>
      </c:valAx>
      <c:catAx>
        <c:axId val="-1570668560"/>
        <c:scaling>
          <c:orientation val="minMax"/>
        </c:scaling>
        <c:delete val="1"/>
        <c:axPos val="b"/>
        <c:numFmt formatCode="General" sourceLinked="1"/>
        <c:majorTickMark val="out"/>
        <c:minorTickMark val="none"/>
        <c:tickLblPos val="nextTo"/>
        <c:crossAx val="-1570664752"/>
        <c:crosses val="autoZero"/>
        <c:auto val="1"/>
        <c:lblAlgn val="ctr"/>
        <c:lblOffset val="100"/>
        <c:noMultiLvlLbl val="0"/>
      </c:catAx>
      <c:spPr>
        <a:noFill/>
        <a:ln>
          <a:noFill/>
        </a:ln>
        <a:effectLst/>
      </c:spPr>
    </c:plotArea>
    <c:legend>
      <c:legendPos val="b"/>
      <c:layout>
        <c:manualLayout>
          <c:xMode val="edge"/>
          <c:yMode val="edge"/>
          <c:x val="4.4694045532297028E-2"/>
          <c:y val="0.88435794172946114"/>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capip!$B$17</c:f>
              <c:strCache>
                <c:ptCount val="1"/>
                <c:pt idx="0">
                  <c:v>Ingresos Propios Programados</c:v>
                </c:pt>
              </c:strCache>
            </c:strRef>
          </c:tx>
          <c:spPr>
            <a:solidFill>
              <a:schemeClr val="accent2"/>
            </a:solidFill>
            <a:ln>
              <a:noFill/>
            </a:ln>
            <a:effectLst/>
          </c:spPr>
          <c:invertIfNegative val="0"/>
          <c:cat>
            <c:numRef>
              <c:extLst>
                <c:ext xmlns:c15="http://schemas.microsoft.com/office/drawing/2012/chart" uri="{02D57815-91ED-43cb-92C2-25804820EDAC}">
                  <c15:fullRef>
                    <c15:sqref>capip!$A$18:$A$25</c15:sqref>
                  </c15:fullRef>
                </c:ext>
              </c:extLst>
              <c:f>capip!$A$18:$A$22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capip!$B$18:$B$25</c15:sqref>
                  </c15:fullRef>
                </c:ext>
              </c:extLst>
              <c:f>capip!$B$18:$B$22</c:f>
              <c:numCache>
                <c:formatCode>General</c:formatCode>
                <c:ptCount val="5"/>
                <c:pt idx="0">
                  <c:v>55000</c:v>
                </c:pt>
                <c:pt idx="1">
                  <c:v>48713.574999999997</c:v>
                </c:pt>
                <c:pt idx="2">
                  <c:v>40000</c:v>
                </c:pt>
                <c:pt idx="3">
                  <c:v>40000</c:v>
                </c:pt>
                <c:pt idx="4">
                  <c:v>45000</c:v>
                </c:pt>
              </c:numCache>
            </c:numRef>
          </c:val>
          <c:extLst>
            <c:ext xmlns:c16="http://schemas.microsoft.com/office/drawing/2014/chart" uri="{C3380CC4-5D6E-409C-BE32-E72D297353CC}">
              <c16:uniqueId val="{00000000-D9D7-4A5F-974A-4C0E88E752E6}"/>
            </c:ext>
          </c:extLst>
        </c:ser>
        <c:ser>
          <c:idx val="2"/>
          <c:order val="1"/>
          <c:tx>
            <c:strRef>
              <c:f>capip!$C$17</c:f>
              <c:strCache>
                <c:ptCount val="1"/>
                <c:pt idx="0">
                  <c:v>Ingresos Propios captados</c:v>
                </c:pt>
              </c:strCache>
            </c:strRef>
          </c:tx>
          <c:spPr>
            <a:solidFill>
              <a:schemeClr val="accent3"/>
            </a:solidFill>
            <a:ln>
              <a:noFill/>
            </a:ln>
            <a:effectLst/>
          </c:spPr>
          <c:invertIfNegative val="0"/>
          <c:cat>
            <c:numRef>
              <c:extLst>
                <c:ext xmlns:c15="http://schemas.microsoft.com/office/drawing/2012/chart" uri="{02D57815-91ED-43cb-92C2-25804820EDAC}">
                  <c15:fullRef>
                    <c15:sqref>capip!$A$18:$A$25</c15:sqref>
                  </c15:fullRef>
                </c:ext>
              </c:extLst>
              <c:f>capip!$A$18:$A$22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capip!$C$18:$C$25</c15:sqref>
                  </c15:fullRef>
                </c:ext>
              </c:extLst>
              <c:f>capip!$C$18:$C$22</c:f>
              <c:numCache>
                <c:formatCode>General</c:formatCode>
                <c:ptCount val="5"/>
                <c:pt idx="0">
                  <c:v>50568.584999999999</c:v>
                </c:pt>
                <c:pt idx="1">
                  <c:v>47548.292999999998</c:v>
                </c:pt>
                <c:pt idx="2">
                  <c:v>33390.084999999999</c:v>
                </c:pt>
                <c:pt idx="3">
                  <c:v>27668.057000000001</c:v>
                </c:pt>
                <c:pt idx="4">
                  <c:v>39503.966999999997</c:v>
                </c:pt>
              </c:numCache>
            </c:numRef>
          </c:val>
          <c:extLst>
            <c:ext xmlns:c16="http://schemas.microsoft.com/office/drawing/2014/chart" uri="{C3380CC4-5D6E-409C-BE32-E72D297353CC}">
              <c16:uniqueId val="{00000001-D9D7-4A5F-974A-4C0E88E752E6}"/>
            </c:ext>
          </c:extLst>
        </c:ser>
        <c:dLbls>
          <c:showLegendKey val="0"/>
          <c:showVal val="0"/>
          <c:showCatName val="0"/>
          <c:showSerName val="0"/>
          <c:showPercent val="0"/>
          <c:showBubbleSize val="0"/>
        </c:dLbls>
        <c:gapWidth val="0"/>
        <c:axId val="-1570667472"/>
        <c:axId val="-1570663664"/>
      </c:barChart>
      <c:lineChart>
        <c:grouping val="standard"/>
        <c:varyColors val="0"/>
        <c:ser>
          <c:idx val="3"/>
          <c:order val="2"/>
          <c:tx>
            <c:strRef>
              <c:f>capip!$D$17</c:f>
              <c:strCache>
                <c:ptCount val="1"/>
                <c:pt idx="0">
                  <c:v>Captación de Ingresos Propios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capip!$A$18:$A$25</c15:sqref>
                  </c15:fullRef>
                </c:ext>
              </c:extLst>
              <c:f>capip!$A$18:$A$22</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capip!$D$18:$D$25</c15:sqref>
                  </c15:fullRef>
                </c:ext>
              </c:extLst>
              <c:f>capip!$D$18:$D$22</c:f>
              <c:numCache>
                <c:formatCode>General</c:formatCode>
                <c:ptCount val="5"/>
                <c:pt idx="0">
                  <c:v>91.942881818181817</c:v>
                </c:pt>
                <c:pt idx="1">
                  <c:v>97.607890613653382</c:v>
                </c:pt>
                <c:pt idx="2">
                  <c:v>83.475212499999998</c:v>
                </c:pt>
                <c:pt idx="3">
                  <c:v>69.170142499999997</c:v>
                </c:pt>
                <c:pt idx="4">
                  <c:v>87.786593333333329</c:v>
                </c:pt>
              </c:numCache>
            </c:numRef>
          </c:val>
          <c:smooth val="0"/>
          <c:extLst>
            <c:ext xmlns:c16="http://schemas.microsoft.com/office/drawing/2014/chart" uri="{C3380CC4-5D6E-409C-BE32-E72D297353CC}">
              <c16:uniqueId val="{00000002-D9D7-4A5F-974A-4C0E88E752E6}"/>
            </c:ext>
          </c:extLst>
        </c:ser>
        <c:dLbls>
          <c:showLegendKey val="0"/>
          <c:showVal val="0"/>
          <c:showCatName val="0"/>
          <c:showSerName val="0"/>
          <c:showPercent val="0"/>
          <c:showBubbleSize val="0"/>
        </c:dLbls>
        <c:marker val="1"/>
        <c:smooth val="0"/>
        <c:axId val="-1570662576"/>
        <c:axId val="-1570670736"/>
      </c:lineChart>
      <c:catAx>
        <c:axId val="-157066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3664"/>
        <c:crosses val="autoZero"/>
        <c:auto val="1"/>
        <c:lblAlgn val="ctr"/>
        <c:lblOffset val="100"/>
        <c:noMultiLvlLbl val="0"/>
      </c:catAx>
      <c:valAx>
        <c:axId val="-15706636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7472"/>
        <c:crosses val="autoZero"/>
        <c:crossBetween val="between"/>
        <c:dispUnits>
          <c:builtInUnit val="thousands"/>
        </c:dispUnits>
      </c:valAx>
      <c:valAx>
        <c:axId val="-1570670736"/>
        <c:scaling>
          <c:orientation val="minMax"/>
          <c:min val="5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570662576"/>
        <c:crosses val="max"/>
        <c:crossBetween val="between"/>
      </c:valAx>
      <c:catAx>
        <c:axId val="-1570662576"/>
        <c:scaling>
          <c:orientation val="minMax"/>
        </c:scaling>
        <c:delete val="1"/>
        <c:axPos val="b"/>
        <c:numFmt formatCode="General" sourceLinked="1"/>
        <c:majorTickMark val="out"/>
        <c:minorTickMark val="none"/>
        <c:tickLblPos val="nextTo"/>
        <c:crossAx val="-1570670736"/>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PCSINEMS!$A$5</c:f>
              <c:strCache>
                <c:ptCount val="1"/>
                <c:pt idx="0">
                  <c:v>Cobertura del Padrón de Calidad del Sistema Nacional de Educación Media Superior (PC-SINEMS)</c:v>
                </c:pt>
              </c:strCache>
            </c:strRef>
          </c:tx>
          <c:spPr>
            <a:ln w="31750" cap="rnd">
              <a:solidFill>
                <a:schemeClr val="accent2"/>
              </a:solidFill>
              <a:round/>
            </a:ln>
            <a:effectLst/>
          </c:spPr>
          <c:marker>
            <c:symbol val="circle"/>
            <c:size val="17"/>
            <c:spPr>
              <a:solidFill>
                <a:schemeClr val="accent2"/>
              </a:solidFill>
              <a:ln>
                <a:noFill/>
              </a:ln>
              <a:effectLst/>
            </c:spPr>
          </c:marker>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5DC4-44CE-A949-A96E6347E8A1}"/>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5DC4-44CE-A949-A96E6347E8A1}"/>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5DC4-44CE-A949-A96E6347E8A1}"/>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5DC4-44CE-A949-A96E6347E8A1}"/>
              </c:ext>
            </c:extLst>
          </c:dPt>
          <c:dPt>
            <c:idx val="5"/>
            <c:marker>
              <c:symbol val="circle"/>
              <c:size val="17"/>
              <c:spPr>
                <a:solidFill>
                  <a:schemeClr val="accent2"/>
                </a:solidFill>
                <a:ln>
                  <a:noFill/>
                </a:ln>
                <a:effectLst/>
              </c:spPr>
            </c:marker>
            <c:bubble3D val="0"/>
            <c:extLst>
              <c:ext xmlns:c16="http://schemas.microsoft.com/office/drawing/2014/chart" uri="{C3380CC4-5D6E-409C-BE32-E72D297353CC}">
                <c16:uniqueId val="{00000004-8952-42E5-BE5B-A1D2ED59C9E5}"/>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PCSINEMS!$A$8:$A$15</c:f>
              <c:numCache>
                <c:formatCode>General</c:formatCode>
                <c:ptCount val="8"/>
                <c:pt idx="0">
                  <c:v>2013</c:v>
                </c:pt>
                <c:pt idx="1">
                  <c:v>2014</c:v>
                </c:pt>
                <c:pt idx="2">
                  <c:v>2015</c:v>
                </c:pt>
                <c:pt idx="3">
                  <c:v>2016</c:v>
                </c:pt>
                <c:pt idx="4">
                  <c:v>2017</c:v>
                </c:pt>
                <c:pt idx="5">
                  <c:v>2018</c:v>
                </c:pt>
                <c:pt idx="6">
                  <c:v>2019</c:v>
                </c:pt>
                <c:pt idx="7">
                  <c:v>2020</c:v>
                </c:pt>
              </c:numCache>
            </c:numRef>
          </c:cat>
          <c:val>
            <c:numRef>
              <c:f>PCSINEMS!$B$8:$B$15</c:f>
              <c:numCache>
                <c:formatCode>0.0</c:formatCode>
                <c:ptCount val="8"/>
                <c:pt idx="0">
                  <c:v>0</c:v>
                </c:pt>
                <c:pt idx="1">
                  <c:v>0</c:v>
                </c:pt>
                <c:pt idx="2">
                  <c:v>0</c:v>
                </c:pt>
                <c:pt idx="3">
                  <c:v>0</c:v>
                </c:pt>
                <c:pt idx="4">
                  <c:v>0</c:v>
                </c:pt>
                <c:pt idx="5">
                  <c:v>0</c:v>
                </c:pt>
                <c:pt idx="6">
                  <c:v>0</c:v>
                </c:pt>
                <c:pt idx="7">
                  <c:v>0</c:v>
                </c:pt>
              </c:numCache>
            </c:numRef>
          </c:val>
          <c:smooth val="1"/>
          <c:extLst>
            <c:ext xmlns:c16="http://schemas.microsoft.com/office/drawing/2014/chart" uri="{C3380CC4-5D6E-409C-BE32-E72D297353CC}">
              <c16:uniqueId val="{00000006-5DC4-44CE-A949-A96E6347E8A1}"/>
            </c:ext>
          </c:extLst>
        </c:ser>
        <c:dLbls>
          <c:dLblPos val="ctr"/>
          <c:showLegendKey val="0"/>
          <c:showVal val="1"/>
          <c:showCatName val="0"/>
          <c:showSerName val="0"/>
          <c:showPercent val="0"/>
          <c:showBubbleSize val="0"/>
        </c:dLbls>
        <c:marker val="1"/>
        <c:smooth val="0"/>
        <c:axId val="-1581999360"/>
        <c:axId val="-1582004256"/>
      </c:lineChart>
      <c:catAx>
        <c:axId val="-1581999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2004256"/>
        <c:crosses val="autoZero"/>
        <c:auto val="1"/>
        <c:lblAlgn val="ctr"/>
        <c:lblOffset val="100"/>
        <c:noMultiLvlLbl val="0"/>
      </c:catAx>
      <c:valAx>
        <c:axId val="-1582004256"/>
        <c:scaling>
          <c:orientation val="minMax"/>
        </c:scaling>
        <c:delete val="1"/>
        <c:axPos val="l"/>
        <c:numFmt formatCode="0.0" sourceLinked="0"/>
        <c:majorTickMark val="none"/>
        <c:minorTickMark val="none"/>
        <c:tickLblPos val="nextTo"/>
        <c:crossAx val="-158199936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absorcion!$A$5</c:f>
              <c:strCache>
                <c:ptCount val="1"/>
                <c:pt idx="0">
                  <c:v>ABSORCIÓN DE EGRESADOS DE SECUNDARIA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F940-4C1E-BE85-F957EF5560FF}"/>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F940-4C1E-BE85-F957EF5560FF}"/>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F940-4C1E-BE85-F957EF5560FF}"/>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F940-4C1E-BE85-F957EF5560FF}"/>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F940-4C1E-BE85-F957EF5560FF}"/>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absorcion!$A$8:$A$12</c:f>
              <c:numCache>
                <c:formatCode>General</c:formatCode>
                <c:ptCount val="5"/>
                <c:pt idx="0">
                  <c:v>2018</c:v>
                </c:pt>
                <c:pt idx="1">
                  <c:v>2019</c:v>
                </c:pt>
                <c:pt idx="2">
                  <c:v>2020</c:v>
                </c:pt>
                <c:pt idx="3">
                  <c:v>2021</c:v>
                </c:pt>
                <c:pt idx="4">
                  <c:v>2022</c:v>
                </c:pt>
              </c:numCache>
            </c:numRef>
          </c:cat>
          <c:val>
            <c:numRef>
              <c:f>absorcion!$B$8:$B$12</c:f>
              <c:numCache>
                <c:formatCode>0.00</c:formatCode>
                <c:ptCount val="5"/>
                <c:pt idx="0">
                  <c:v>5.7563120080126753</c:v>
                </c:pt>
                <c:pt idx="1">
                  <c:v>6.2618384857804967</c:v>
                </c:pt>
                <c:pt idx="2">
                  <c:v>6.1427280475920947</c:v>
                </c:pt>
                <c:pt idx="3">
                  <c:v>5.8313559384679063</c:v>
                </c:pt>
                <c:pt idx="4">
                  <c:v>6.3773420070076163</c:v>
                </c:pt>
              </c:numCache>
            </c:numRef>
          </c:val>
          <c:smooth val="1"/>
          <c:extLst>
            <c:ext xmlns:c16="http://schemas.microsoft.com/office/drawing/2014/chart" uri="{C3380CC4-5D6E-409C-BE32-E72D297353CC}">
              <c16:uniqueId val="{00000006-F940-4C1E-BE85-F957EF5560FF}"/>
            </c:ext>
          </c:extLst>
        </c:ser>
        <c:dLbls>
          <c:dLblPos val="ctr"/>
          <c:showLegendKey val="0"/>
          <c:showVal val="1"/>
          <c:showCatName val="0"/>
          <c:showSerName val="0"/>
          <c:showPercent val="0"/>
          <c:showBubbleSize val="0"/>
        </c:dLbls>
        <c:marker val="1"/>
        <c:smooth val="0"/>
        <c:axId val="-1585911360"/>
        <c:axId val="-1585902656"/>
      </c:lineChart>
      <c:catAx>
        <c:axId val="-1585911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2656"/>
        <c:crosses val="autoZero"/>
        <c:auto val="1"/>
        <c:lblAlgn val="ctr"/>
        <c:lblOffset val="100"/>
        <c:noMultiLvlLbl val="0"/>
      </c:catAx>
      <c:valAx>
        <c:axId val="-1585902656"/>
        <c:scaling>
          <c:orientation val="minMax"/>
        </c:scaling>
        <c:delete val="1"/>
        <c:axPos val="l"/>
        <c:numFmt formatCode="0.0" sourceLinked="0"/>
        <c:majorTickMark val="none"/>
        <c:minorTickMark val="none"/>
        <c:tickLblPos val="nextTo"/>
        <c:crossAx val="-158591136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matricula!$A$5</c:f>
              <c:strCache>
                <c:ptCount val="1"/>
                <c:pt idx="0">
                  <c:v>MATRÍCULA TOTAL</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E823-426F-8D14-0AC2FA06EB80}"/>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E823-426F-8D14-0AC2FA06EB80}"/>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E823-426F-8D14-0AC2FA06EB80}"/>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E823-426F-8D14-0AC2FA06EB80}"/>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E823-426F-8D14-0AC2FA06EB80}"/>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matricula!$A$8:$A$11</c:f>
              <c:numCache>
                <c:formatCode>General</c:formatCode>
                <c:ptCount val="4"/>
                <c:pt idx="0">
                  <c:v>2018</c:v>
                </c:pt>
                <c:pt idx="1">
                  <c:v>2019</c:v>
                </c:pt>
                <c:pt idx="2">
                  <c:v>2020</c:v>
                </c:pt>
                <c:pt idx="3">
                  <c:v>2021</c:v>
                </c:pt>
              </c:numCache>
            </c:numRef>
          </c:cat>
          <c:val>
            <c:numRef>
              <c:f>matricula!$B$8:$B$12</c:f>
              <c:numCache>
                <c:formatCode>#,##0</c:formatCode>
                <c:ptCount val="5"/>
                <c:pt idx="0">
                  <c:v>307859</c:v>
                </c:pt>
                <c:pt idx="1">
                  <c:v>306089</c:v>
                </c:pt>
                <c:pt idx="2">
                  <c:v>307031</c:v>
                </c:pt>
                <c:pt idx="3">
                  <c:v>309717</c:v>
                </c:pt>
                <c:pt idx="4">
                  <c:v>321053</c:v>
                </c:pt>
              </c:numCache>
            </c:numRef>
          </c:val>
          <c:smooth val="1"/>
          <c:extLst>
            <c:ext xmlns:c16="http://schemas.microsoft.com/office/drawing/2014/chart" uri="{C3380CC4-5D6E-409C-BE32-E72D297353CC}">
              <c16:uniqueId val="{00000006-E823-426F-8D14-0AC2FA06EB80}"/>
            </c:ext>
          </c:extLst>
        </c:ser>
        <c:dLbls>
          <c:dLblPos val="ctr"/>
          <c:showLegendKey val="0"/>
          <c:showVal val="1"/>
          <c:showCatName val="0"/>
          <c:showSerName val="0"/>
          <c:showPercent val="0"/>
          <c:showBubbleSize val="0"/>
        </c:dLbls>
        <c:marker val="1"/>
        <c:smooth val="0"/>
        <c:axId val="-1585902112"/>
        <c:axId val="-1585908096"/>
      </c:lineChart>
      <c:catAx>
        <c:axId val="-15859021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8096"/>
        <c:crosses val="autoZero"/>
        <c:auto val="1"/>
        <c:lblAlgn val="ctr"/>
        <c:lblOffset val="100"/>
        <c:noMultiLvlLbl val="0"/>
      </c:catAx>
      <c:valAx>
        <c:axId val="-1585908096"/>
        <c:scaling>
          <c:orientation val="minMax"/>
        </c:scaling>
        <c:delete val="1"/>
        <c:axPos val="l"/>
        <c:numFmt formatCode="0.0" sourceLinked="0"/>
        <c:majorTickMark val="none"/>
        <c:minorTickMark val="none"/>
        <c:tickLblPos val="nextTo"/>
        <c:crossAx val="-158590211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capacidad!$A$5</c:f>
              <c:strCache>
                <c:ptCount val="1"/>
                <c:pt idx="0">
                  <c:v>APROVECHAMIENTO DE LA CAPACIDAD INSTALADA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D83A-46F8-A3A8-0410B44CFCAB}"/>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D83A-46F8-A3A8-0410B44CFCAB}"/>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D83A-46F8-A3A8-0410B44CFCAB}"/>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D83A-46F8-A3A8-0410B44CFCAB}"/>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D83A-46F8-A3A8-0410B44CFCAB}"/>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capacidad!$A$8:$A$12</c:f>
              <c:numCache>
                <c:formatCode>General</c:formatCode>
                <c:ptCount val="5"/>
                <c:pt idx="0">
                  <c:v>2018</c:v>
                </c:pt>
                <c:pt idx="1">
                  <c:v>2019</c:v>
                </c:pt>
                <c:pt idx="2">
                  <c:v>2020</c:v>
                </c:pt>
                <c:pt idx="3">
                  <c:v>2021</c:v>
                </c:pt>
                <c:pt idx="4">
                  <c:v>2022</c:v>
                </c:pt>
              </c:numCache>
            </c:numRef>
          </c:cat>
          <c:val>
            <c:numRef>
              <c:f>capacidad!$B$8:$B$12</c:f>
              <c:numCache>
                <c:formatCode>0.0</c:formatCode>
                <c:ptCount val="5"/>
                <c:pt idx="0">
                  <c:v>73.271848819497336</c:v>
                </c:pt>
                <c:pt idx="1">
                  <c:v>72.136359351432873</c:v>
                </c:pt>
                <c:pt idx="2">
                  <c:v>72.358361613876326</c:v>
                </c:pt>
                <c:pt idx="3">
                  <c:v>73.046462264150946</c:v>
                </c:pt>
                <c:pt idx="4">
                  <c:v>75.307984612497663</c:v>
                </c:pt>
              </c:numCache>
            </c:numRef>
          </c:val>
          <c:smooth val="1"/>
          <c:extLst>
            <c:ext xmlns:c16="http://schemas.microsoft.com/office/drawing/2014/chart" uri="{C3380CC4-5D6E-409C-BE32-E72D297353CC}">
              <c16:uniqueId val="{00000006-D83A-46F8-A3A8-0410B44CFCAB}"/>
            </c:ext>
          </c:extLst>
        </c:ser>
        <c:dLbls>
          <c:dLblPos val="ctr"/>
          <c:showLegendKey val="0"/>
          <c:showVal val="1"/>
          <c:showCatName val="0"/>
          <c:showSerName val="0"/>
          <c:showPercent val="0"/>
          <c:showBubbleSize val="0"/>
        </c:dLbls>
        <c:marker val="1"/>
        <c:smooth val="0"/>
        <c:axId val="-1585913536"/>
        <c:axId val="-1585915168"/>
      </c:lineChart>
      <c:catAx>
        <c:axId val="-15859135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15168"/>
        <c:crosses val="autoZero"/>
        <c:auto val="1"/>
        <c:lblAlgn val="ctr"/>
        <c:lblOffset val="100"/>
        <c:noMultiLvlLbl val="0"/>
      </c:catAx>
      <c:valAx>
        <c:axId val="-1585915168"/>
        <c:scaling>
          <c:orientation val="minMax"/>
        </c:scaling>
        <c:delete val="1"/>
        <c:axPos val="l"/>
        <c:numFmt formatCode="0.0" sourceLinked="0"/>
        <c:majorTickMark val="none"/>
        <c:minorTickMark val="none"/>
        <c:tickLblPos val="nextTo"/>
        <c:crossAx val="-158591353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abandono!$A$5</c:f>
              <c:strCache>
                <c:ptCount val="1"/>
                <c:pt idx="0">
                  <c:v>ABANDONO ESCOLAR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7FB3-4920-BB2D-0F165F67EAAE}"/>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7FB3-4920-BB2D-0F165F67EAAE}"/>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7FB3-4920-BB2D-0F165F67EAAE}"/>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7FB3-4920-BB2D-0F165F67EAAE}"/>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7FB3-4920-BB2D-0F165F67EAAE}"/>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abandono!$A$8:$A$12</c:f>
              <c:numCache>
                <c:formatCode>General</c:formatCode>
                <c:ptCount val="5"/>
                <c:pt idx="0">
                  <c:v>2018</c:v>
                </c:pt>
                <c:pt idx="1">
                  <c:v>2019</c:v>
                </c:pt>
                <c:pt idx="2">
                  <c:v>2020</c:v>
                </c:pt>
                <c:pt idx="3">
                  <c:v>2021</c:v>
                </c:pt>
                <c:pt idx="4">
                  <c:v>2022</c:v>
                </c:pt>
              </c:numCache>
            </c:numRef>
          </c:cat>
          <c:val>
            <c:numRef>
              <c:f>abandono!$B$8:$B$12</c:f>
              <c:numCache>
                <c:formatCode>0.0</c:formatCode>
                <c:ptCount val="5"/>
                <c:pt idx="0">
                  <c:v>16.319880955435263</c:v>
                </c:pt>
                <c:pt idx="1">
                  <c:v>15.580184435082289</c:v>
                </c:pt>
                <c:pt idx="2">
                  <c:v>12.691080045346293</c:v>
                </c:pt>
                <c:pt idx="3">
                  <c:v>14.848337789995147</c:v>
                </c:pt>
                <c:pt idx="4">
                  <c:v>13.953060374470883</c:v>
                </c:pt>
              </c:numCache>
            </c:numRef>
          </c:val>
          <c:smooth val="1"/>
          <c:extLst>
            <c:ext xmlns:c16="http://schemas.microsoft.com/office/drawing/2014/chart" uri="{C3380CC4-5D6E-409C-BE32-E72D297353CC}">
              <c16:uniqueId val="{00000006-7FB3-4920-BB2D-0F165F67EAAE}"/>
            </c:ext>
          </c:extLst>
        </c:ser>
        <c:dLbls>
          <c:dLblPos val="ctr"/>
          <c:showLegendKey val="0"/>
          <c:showVal val="1"/>
          <c:showCatName val="0"/>
          <c:showSerName val="0"/>
          <c:showPercent val="0"/>
          <c:showBubbleSize val="0"/>
        </c:dLbls>
        <c:marker val="1"/>
        <c:smooth val="0"/>
        <c:axId val="-1585908640"/>
        <c:axId val="-1585905920"/>
      </c:lineChart>
      <c:catAx>
        <c:axId val="-15859086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5920"/>
        <c:crosses val="autoZero"/>
        <c:auto val="1"/>
        <c:lblAlgn val="ctr"/>
        <c:lblOffset val="100"/>
        <c:noMultiLvlLbl val="0"/>
      </c:catAx>
      <c:valAx>
        <c:axId val="-1585905920"/>
        <c:scaling>
          <c:orientation val="minMax"/>
          <c:min val="10"/>
        </c:scaling>
        <c:delete val="0"/>
        <c:axPos val="l"/>
        <c:numFmt formatCode="0.0" sourceLinked="0"/>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dk1">
                    <a:lumMod val="75000"/>
                    <a:lumOff val="25000"/>
                  </a:schemeClr>
                </a:solidFill>
                <a:latin typeface="Montserrat" panose="00000500000000000000" pitchFamily="2" charset="0"/>
                <a:ea typeface="+mn-ea"/>
                <a:cs typeface="+mn-cs"/>
              </a:defRPr>
            </a:pPr>
            <a:endParaRPr lang="es-MX"/>
          </a:p>
        </c:txPr>
        <c:crossAx val="-158590864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reprobacion!$A$5</c:f>
              <c:strCache>
                <c:ptCount val="1"/>
                <c:pt idx="0">
                  <c:v>REPROBACIÓN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FAC3-4BD7-B6FF-827E91DA166E}"/>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FAC3-4BD7-B6FF-827E91DA166E}"/>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FAC3-4BD7-B6FF-827E91DA166E}"/>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FAC3-4BD7-B6FF-827E91DA166E}"/>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reprobacion!$A$8:$A$12</c:f>
              <c:numCache>
                <c:formatCode>General</c:formatCode>
                <c:ptCount val="5"/>
                <c:pt idx="0">
                  <c:v>2018</c:v>
                </c:pt>
                <c:pt idx="1">
                  <c:v>2019</c:v>
                </c:pt>
                <c:pt idx="2">
                  <c:v>2020</c:v>
                </c:pt>
                <c:pt idx="3">
                  <c:v>2021</c:v>
                </c:pt>
                <c:pt idx="4">
                  <c:v>2022</c:v>
                </c:pt>
              </c:numCache>
            </c:numRef>
          </c:cat>
          <c:val>
            <c:numRef>
              <c:f>reprobacion!$B$8:$B$12</c:f>
              <c:numCache>
                <c:formatCode>0.0</c:formatCode>
                <c:ptCount val="5"/>
                <c:pt idx="0">
                  <c:v>22.104985306280465</c:v>
                </c:pt>
                <c:pt idx="1">
                  <c:v>19.023028965837586</c:v>
                </c:pt>
                <c:pt idx="2">
                  <c:v>8.7322168197370793</c:v>
                </c:pt>
                <c:pt idx="3">
                  <c:v>16.100551764714325</c:v>
                </c:pt>
                <c:pt idx="4">
                  <c:v>16.964893445326261</c:v>
                </c:pt>
              </c:numCache>
            </c:numRef>
          </c:val>
          <c:smooth val="1"/>
          <c:extLst>
            <c:ext xmlns:c16="http://schemas.microsoft.com/office/drawing/2014/chart" uri="{C3380CC4-5D6E-409C-BE32-E72D297353CC}">
              <c16:uniqueId val="{00000006-FAC3-4BD7-B6FF-827E91DA166E}"/>
            </c:ext>
          </c:extLst>
        </c:ser>
        <c:dLbls>
          <c:dLblPos val="ctr"/>
          <c:showLegendKey val="0"/>
          <c:showVal val="1"/>
          <c:showCatName val="0"/>
          <c:showSerName val="0"/>
          <c:showPercent val="0"/>
          <c:showBubbleSize val="0"/>
        </c:dLbls>
        <c:marker val="1"/>
        <c:smooth val="0"/>
        <c:axId val="-1585912448"/>
        <c:axId val="-1585905376"/>
      </c:lineChart>
      <c:catAx>
        <c:axId val="-15859124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5376"/>
        <c:crosses val="autoZero"/>
        <c:auto val="1"/>
        <c:lblAlgn val="ctr"/>
        <c:lblOffset val="100"/>
        <c:noMultiLvlLbl val="0"/>
      </c:catAx>
      <c:valAx>
        <c:axId val="-1585905376"/>
        <c:scaling>
          <c:orientation val="minMax"/>
        </c:scaling>
        <c:delete val="1"/>
        <c:axPos val="l"/>
        <c:numFmt formatCode="0.0" sourceLinked="0"/>
        <c:majorTickMark val="none"/>
        <c:minorTickMark val="none"/>
        <c:tickLblPos val="nextTo"/>
        <c:crossAx val="-158591244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eficienciat!$A$5</c:f>
              <c:strCache>
                <c:ptCount val="1"/>
                <c:pt idx="0">
                  <c:v>EFICIENCIA TERMINAL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B697-4ABF-BED9-2C59C38B768F}"/>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B697-4ABF-BED9-2C59C38B768F}"/>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B697-4ABF-BED9-2C59C38B768F}"/>
              </c:ext>
            </c:extLst>
          </c:dPt>
          <c:dPt>
            <c:idx val="3"/>
            <c:marker>
              <c:symbol val="circle"/>
              <c:size val="17"/>
              <c:spPr>
                <a:solidFill>
                  <a:schemeClr val="accent2"/>
                </a:solidFill>
                <a:ln>
                  <a:noFill/>
                </a:ln>
                <a:effectLst/>
              </c:spPr>
            </c:marker>
            <c:bubble3D val="0"/>
            <c:extLst>
              <c:ext xmlns:c16="http://schemas.microsoft.com/office/drawing/2014/chart" uri="{C3380CC4-5D6E-409C-BE32-E72D297353CC}">
                <c16:uniqueId val="{00000003-B697-4ABF-BED9-2C59C38B768F}"/>
              </c:ext>
            </c:extLst>
          </c:dPt>
          <c:dPt>
            <c:idx val="4"/>
            <c:marker>
              <c:symbol val="circle"/>
              <c:size val="17"/>
              <c:spPr>
                <a:solidFill>
                  <a:schemeClr val="accent2"/>
                </a:solidFill>
                <a:ln>
                  <a:noFill/>
                </a:ln>
                <a:effectLst/>
              </c:spPr>
            </c:marker>
            <c:bubble3D val="0"/>
            <c:extLst>
              <c:ext xmlns:c16="http://schemas.microsoft.com/office/drawing/2014/chart" uri="{C3380CC4-5D6E-409C-BE32-E72D297353CC}">
                <c16:uniqueId val="{00000004-B697-4ABF-BED9-2C59C38B768F}"/>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eficienciat!$A$8:$A$12</c:f>
              <c:numCache>
                <c:formatCode>General</c:formatCode>
                <c:ptCount val="5"/>
                <c:pt idx="0">
                  <c:v>2018</c:v>
                </c:pt>
                <c:pt idx="1">
                  <c:v>2019</c:v>
                </c:pt>
                <c:pt idx="2">
                  <c:v>2020</c:v>
                </c:pt>
                <c:pt idx="3">
                  <c:v>2021</c:v>
                </c:pt>
                <c:pt idx="4">
                  <c:v>2022</c:v>
                </c:pt>
              </c:numCache>
            </c:numRef>
          </c:cat>
          <c:val>
            <c:numRef>
              <c:f>eficienciat!$B$8:$B$12</c:f>
              <c:numCache>
                <c:formatCode>0.0</c:formatCode>
                <c:ptCount val="5"/>
                <c:pt idx="0">
                  <c:v>50.182474621570293</c:v>
                </c:pt>
                <c:pt idx="1">
                  <c:v>53.131455399061032</c:v>
                </c:pt>
                <c:pt idx="2">
                  <c:v>56.755098789037604</c:v>
                </c:pt>
                <c:pt idx="3">
                  <c:v>55.71442939519914</c:v>
                </c:pt>
                <c:pt idx="4">
                  <c:v>56.537498568132349</c:v>
                </c:pt>
              </c:numCache>
            </c:numRef>
          </c:val>
          <c:smooth val="1"/>
          <c:extLst>
            <c:ext xmlns:c16="http://schemas.microsoft.com/office/drawing/2014/chart" uri="{C3380CC4-5D6E-409C-BE32-E72D297353CC}">
              <c16:uniqueId val="{00000006-B697-4ABF-BED9-2C59C38B768F}"/>
            </c:ext>
          </c:extLst>
        </c:ser>
        <c:dLbls>
          <c:dLblPos val="ctr"/>
          <c:showLegendKey val="0"/>
          <c:showVal val="1"/>
          <c:showCatName val="0"/>
          <c:showSerName val="0"/>
          <c:showPercent val="0"/>
          <c:showBubbleSize val="0"/>
        </c:dLbls>
        <c:marker val="1"/>
        <c:smooth val="0"/>
        <c:axId val="-1585911904"/>
        <c:axId val="-1585909728"/>
      </c:lineChart>
      <c:catAx>
        <c:axId val="-1585911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9728"/>
        <c:crosses val="autoZero"/>
        <c:auto val="1"/>
        <c:lblAlgn val="ctr"/>
        <c:lblOffset val="100"/>
        <c:noMultiLvlLbl val="0"/>
      </c:catAx>
      <c:valAx>
        <c:axId val="-1585909728"/>
        <c:scaling>
          <c:orientation val="minMax"/>
        </c:scaling>
        <c:delete val="1"/>
        <c:axPos val="l"/>
        <c:numFmt formatCode="0.0" sourceLinked="0"/>
        <c:majorTickMark val="none"/>
        <c:minorTickMark val="none"/>
        <c:tickLblPos val="nextTo"/>
        <c:crossAx val="-158591190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tasaegreso!$A$5</c:f>
              <c:strCache>
                <c:ptCount val="1"/>
                <c:pt idx="0">
                  <c:v>TASA DE EGRESO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929A-4E61-969B-59A756D7F136}"/>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929A-4E61-969B-59A756D7F136}"/>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929A-4E61-969B-59A756D7F136}"/>
              </c:ext>
            </c:extLst>
          </c:dPt>
          <c:dLbls>
            <c:spPr>
              <a:noFill/>
              <a:ln>
                <a:noFill/>
              </a:ln>
              <a:effectLst/>
            </c:spPr>
            <c:txPr>
              <a:bodyPr rot="0" spcFirstLastPara="1" vertOverflow="ellipsis" vert="horz" wrap="square" anchor="ctr" anchorCtr="1"/>
              <a:lstStyle/>
              <a:p>
                <a:pPr>
                  <a:defRPr sz="600" b="1" i="0" u="none" strike="noStrike" kern="1200" baseline="0">
                    <a:solidFill>
                      <a:schemeClr val="lt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tasaegreso!$A$8:$A$16</c:f>
              <c:numCache>
                <c:formatCode>General</c:formatCode>
                <c:ptCount val="5"/>
                <c:pt idx="0">
                  <c:v>2016</c:v>
                </c:pt>
                <c:pt idx="1">
                  <c:v>2017</c:v>
                </c:pt>
                <c:pt idx="2">
                  <c:v>2018</c:v>
                </c:pt>
                <c:pt idx="3">
                  <c:v>2019</c:v>
                </c:pt>
                <c:pt idx="4">
                  <c:v>2020</c:v>
                </c:pt>
              </c:numCache>
            </c:numRef>
          </c:cat>
          <c:val>
            <c:numRef>
              <c:f>tasaegreso!$B$9:$B$16</c:f>
              <c:numCache>
                <c:formatCode>0.0</c:formatCode>
                <c:ptCount val="5"/>
                <c:pt idx="0">
                  <c:v>0</c:v>
                </c:pt>
                <c:pt idx="1">
                  <c:v>0</c:v>
                </c:pt>
                <c:pt idx="2">
                  <c:v>0</c:v>
                </c:pt>
                <c:pt idx="3">
                  <c:v>0</c:v>
                </c:pt>
                <c:pt idx="4">
                  <c:v>0</c:v>
                </c:pt>
              </c:numCache>
            </c:numRef>
          </c:val>
          <c:smooth val="1"/>
          <c:extLst>
            <c:ext xmlns:c16="http://schemas.microsoft.com/office/drawing/2014/chart" uri="{C3380CC4-5D6E-409C-BE32-E72D297353CC}">
              <c16:uniqueId val="{00000006-929A-4E61-969B-59A756D7F136}"/>
            </c:ext>
          </c:extLst>
        </c:ser>
        <c:dLbls>
          <c:dLblPos val="ctr"/>
          <c:showLegendKey val="0"/>
          <c:showVal val="1"/>
          <c:showCatName val="0"/>
          <c:showSerName val="0"/>
          <c:showPercent val="0"/>
          <c:showBubbleSize val="0"/>
        </c:dLbls>
        <c:marker val="1"/>
        <c:smooth val="0"/>
        <c:axId val="-1585904832"/>
        <c:axId val="-1585904288"/>
      </c:lineChart>
      <c:catAx>
        <c:axId val="-15859048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85904288"/>
        <c:crosses val="autoZero"/>
        <c:auto val="1"/>
        <c:lblAlgn val="ctr"/>
        <c:lblOffset val="100"/>
        <c:noMultiLvlLbl val="0"/>
      </c:catAx>
      <c:valAx>
        <c:axId val="-1585904288"/>
        <c:scaling>
          <c:orientation val="minMax"/>
        </c:scaling>
        <c:delete val="1"/>
        <c:axPos val="l"/>
        <c:numFmt formatCode="0.0" sourceLinked="0"/>
        <c:majorTickMark val="none"/>
        <c:minorTickMark val="none"/>
        <c:tickLblPos val="nextTo"/>
        <c:crossAx val="-158590483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7.xml"/></Relationships>
</file>

<file path=xl/drawings/_rels/drawing3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10</xdr:col>
      <xdr:colOff>176893</xdr:colOff>
      <xdr:row>0</xdr:row>
      <xdr:rowOff>176891</xdr:rowOff>
    </xdr:from>
    <xdr:to>
      <xdr:col>12</xdr:col>
      <xdr:colOff>734784</xdr:colOff>
      <xdr:row>31</xdr:row>
      <xdr:rowOff>41622</xdr:rowOff>
    </xdr:to>
    <mc:AlternateContent xmlns:mc="http://schemas.openxmlformats.org/markup-compatibility/2006" xmlns:a14="http://schemas.microsoft.com/office/drawing/2010/main">
      <mc:Choice Requires="a14">
        <xdr:graphicFrame macro="">
          <xdr:nvGraphicFramePr>
            <xdr:cNvPr id="4" name="entidad 1">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entidad 1"/>
            </a:graphicData>
          </a:graphic>
        </xdr:graphicFrame>
      </mc:Choice>
      <mc:Fallback xmlns="">
        <xdr:sp macro="" textlink="">
          <xdr:nvSpPr>
            <xdr:cNvPr id="0" name=""/>
            <xdr:cNvSpPr>
              <a:spLocks noTextEdit="1"/>
            </xdr:cNvSpPr>
          </xdr:nvSpPr>
          <xdr:spPr>
            <a:xfrm>
              <a:off x="11661322" y="176891"/>
              <a:ext cx="2081891" cy="8885466"/>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13606</xdr:colOff>
      <xdr:row>0</xdr:row>
      <xdr:rowOff>95250</xdr:rowOff>
    </xdr:from>
    <xdr:to>
      <xdr:col>1</xdr:col>
      <xdr:colOff>1102179</xdr:colOff>
      <xdr:row>2</xdr:row>
      <xdr:rowOff>121172</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13606" y="95250"/>
          <a:ext cx="1564823" cy="515779"/>
        </a:xfrm>
        <a:prstGeom prst="rect">
          <a:avLst/>
        </a:prstGeom>
      </xdr:spPr>
    </xdr:pic>
    <xdr:clientData/>
  </xdr:twoCellAnchor>
  <xdr:twoCellAnchor editAs="oneCell">
    <xdr:from>
      <xdr:col>1</xdr:col>
      <xdr:colOff>1170214</xdr:colOff>
      <xdr:row>0</xdr:row>
      <xdr:rowOff>122463</xdr:rowOff>
    </xdr:from>
    <xdr:to>
      <xdr:col>1</xdr:col>
      <xdr:colOff>1728107</xdr:colOff>
      <xdr:row>2</xdr:row>
      <xdr:rowOff>104183</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6464" y="122463"/>
          <a:ext cx="557893" cy="4715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173567</xdr:colOff>
      <xdr:row>5</xdr:row>
      <xdr:rowOff>71437</xdr:rowOff>
    </xdr:from>
    <xdr:to>
      <xdr:col>9</xdr:col>
      <xdr:colOff>466725</xdr:colOff>
      <xdr:row>13</xdr:row>
      <xdr:rowOff>38100</xdr:rowOff>
    </xdr:to>
    <xdr:graphicFrame macro="">
      <xdr:nvGraphicFramePr>
        <xdr:cNvPr id="2" name="1 Gráfico">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534918</xdr:colOff>
      <xdr:row>2</xdr:row>
      <xdr:rowOff>124239</xdr:rowOff>
    </xdr:to>
    <xdr:pic>
      <xdr:nvPicPr>
        <xdr:cNvPr id="4" name="Imagen 3">
          <a:extLst>
            <a:ext uri="{FF2B5EF4-FFF2-40B4-BE49-F238E27FC236}">
              <a16:creationId xmlns:a16="http://schemas.microsoft.com/office/drawing/2014/main" id="{4D8489B6-44A9-49D2-BB75-BA4792266DE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116417</xdr:colOff>
      <xdr:row>6</xdr:row>
      <xdr:rowOff>23813</xdr:rowOff>
    </xdr:from>
    <xdr:to>
      <xdr:col>7</xdr:col>
      <xdr:colOff>514349</xdr:colOff>
      <xdr:row>12</xdr:row>
      <xdr:rowOff>161925</xdr:rowOff>
    </xdr:to>
    <xdr:graphicFrame macro="">
      <xdr:nvGraphicFramePr>
        <xdr:cNvPr id="2" name="1 Gráfico">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534918</xdr:colOff>
      <xdr:row>3</xdr:row>
      <xdr:rowOff>13114</xdr:rowOff>
    </xdr:to>
    <xdr:pic>
      <xdr:nvPicPr>
        <xdr:cNvPr id="4" name="Imagen 3">
          <a:extLst>
            <a:ext uri="{FF2B5EF4-FFF2-40B4-BE49-F238E27FC236}">
              <a16:creationId xmlns:a16="http://schemas.microsoft.com/office/drawing/2014/main" id="{F0453F07-3284-4B1F-A623-EA6EDDA4F1C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7</xdr:col>
      <xdr:colOff>579438</xdr:colOff>
      <xdr:row>13</xdr:row>
      <xdr:rowOff>15875</xdr:rowOff>
    </xdr:to>
    <xdr:graphicFrame macro="">
      <xdr:nvGraphicFramePr>
        <xdr:cNvPr id="2" name="1 Gráfico">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534918</xdr:colOff>
      <xdr:row>2</xdr:row>
      <xdr:rowOff>124239</xdr:rowOff>
    </xdr:to>
    <xdr:pic>
      <xdr:nvPicPr>
        <xdr:cNvPr id="4" name="Imagen 3">
          <a:extLst>
            <a:ext uri="{FF2B5EF4-FFF2-40B4-BE49-F238E27FC236}">
              <a16:creationId xmlns:a16="http://schemas.microsoft.com/office/drawing/2014/main" id="{CA17BDF2-9F33-4123-A693-DC4BB792B32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116418</xdr:colOff>
      <xdr:row>6</xdr:row>
      <xdr:rowOff>23812</xdr:rowOff>
    </xdr:from>
    <xdr:to>
      <xdr:col>7</xdr:col>
      <xdr:colOff>577850</xdr:colOff>
      <xdr:row>13</xdr:row>
      <xdr:rowOff>10583</xdr:rowOff>
    </xdr:to>
    <xdr:graphicFrame macro="">
      <xdr:nvGraphicFramePr>
        <xdr:cNvPr id="2" name="1 Gráfico">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530657</xdr:colOff>
      <xdr:row>2</xdr:row>
      <xdr:rowOff>124239</xdr:rowOff>
    </xdr:to>
    <xdr:pic>
      <xdr:nvPicPr>
        <xdr:cNvPr id="4" name="Imagen 3">
          <a:extLst>
            <a:ext uri="{FF2B5EF4-FFF2-40B4-BE49-F238E27FC236}">
              <a16:creationId xmlns:a16="http://schemas.microsoft.com/office/drawing/2014/main" id="{9416C813-C1AC-45D4-8FF7-F0C537E86DC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7</xdr:col>
      <xdr:colOff>619124</xdr:colOff>
      <xdr:row>13</xdr:row>
      <xdr:rowOff>47625</xdr:rowOff>
    </xdr:to>
    <xdr:graphicFrame macro="">
      <xdr:nvGraphicFramePr>
        <xdr:cNvPr id="2" name="1 Gráfico">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534918</xdr:colOff>
      <xdr:row>2</xdr:row>
      <xdr:rowOff>124239</xdr:rowOff>
    </xdr:to>
    <xdr:pic>
      <xdr:nvPicPr>
        <xdr:cNvPr id="4" name="Imagen 3">
          <a:extLst>
            <a:ext uri="{FF2B5EF4-FFF2-40B4-BE49-F238E27FC236}">
              <a16:creationId xmlns:a16="http://schemas.microsoft.com/office/drawing/2014/main" id="{2491DEBC-0819-46E3-A7C0-F3CA778AC78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60854</xdr:colOff>
      <xdr:row>6</xdr:row>
      <xdr:rowOff>15873</xdr:rowOff>
    </xdr:from>
    <xdr:to>
      <xdr:col>5</xdr:col>
      <xdr:colOff>849311</xdr:colOff>
      <xdr:row>17</xdr:row>
      <xdr:rowOff>31750</xdr:rowOff>
    </xdr:to>
    <xdr:graphicFrame macro="">
      <xdr:nvGraphicFramePr>
        <xdr:cNvPr id="2" name="1 Gráfico">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542925</xdr:colOff>
      <xdr:row>2</xdr:row>
      <xdr:rowOff>92075</xdr:rowOff>
    </xdr:to>
    <xdr:pic>
      <xdr:nvPicPr>
        <xdr:cNvPr id="4" name="Imagen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7</xdr:col>
      <xdr:colOff>595313</xdr:colOff>
      <xdr:row>13</xdr:row>
      <xdr:rowOff>63500</xdr:rowOff>
    </xdr:to>
    <xdr:graphicFrame macro="">
      <xdr:nvGraphicFramePr>
        <xdr:cNvPr id="2" name="1 Gráfico">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534918</xdr:colOff>
      <xdr:row>2</xdr:row>
      <xdr:rowOff>124239</xdr:rowOff>
    </xdr:to>
    <xdr:pic>
      <xdr:nvPicPr>
        <xdr:cNvPr id="4" name="Imagen 3">
          <a:extLst>
            <a:ext uri="{FF2B5EF4-FFF2-40B4-BE49-F238E27FC236}">
              <a16:creationId xmlns:a16="http://schemas.microsoft.com/office/drawing/2014/main" id="{70ECDAC1-B7AB-4152-90F3-0B619F161D8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116419</xdr:colOff>
      <xdr:row>6</xdr:row>
      <xdr:rowOff>23812</xdr:rowOff>
    </xdr:from>
    <xdr:to>
      <xdr:col>9</xdr:col>
      <xdr:colOff>603250</xdr:colOff>
      <xdr:row>13</xdr:row>
      <xdr:rowOff>79375</xdr:rowOff>
    </xdr:to>
    <xdr:graphicFrame macro="">
      <xdr:nvGraphicFramePr>
        <xdr:cNvPr id="2" name="1 Gráfico">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542855</xdr:colOff>
      <xdr:row>2</xdr:row>
      <xdr:rowOff>124239</xdr:rowOff>
    </xdr:to>
    <xdr:pic>
      <xdr:nvPicPr>
        <xdr:cNvPr id="5" name="Imagen 4">
          <a:extLst>
            <a:ext uri="{FF2B5EF4-FFF2-40B4-BE49-F238E27FC236}">
              <a16:creationId xmlns:a16="http://schemas.microsoft.com/office/drawing/2014/main" id="{81619D2F-C5C3-4869-9050-303F0EAC4A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116419</xdr:colOff>
      <xdr:row>6</xdr:row>
      <xdr:rowOff>23812</xdr:rowOff>
    </xdr:from>
    <xdr:to>
      <xdr:col>7</xdr:col>
      <xdr:colOff>604630</xdr:colOff>
      <xdr:row>13</xdr:row>
      <xdr:rowOff>41413</xdr:rowOff>
    </xdr:to>
    <xdr:graphicFrame macro="">
      <xdr:nvGraphicFramePr>
        <xdr:cNvPr id="2" name="1 Gráfico">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534918</xdr:colOff>
      <xdr:row>2</xdr:row>
      <xdr:rowOff>124239</xdr:rowOff>
    </xdr:to>
    <xdr:pic>
      <xdr:nvPicPr>
        <xdr:cNvPr id="4" name="Imagen 3">
          <a:extLst>
            <a:ext uri="{FF2B5EF4-FFF2-40B4-BE49-F238E27FC236}">
              <a16:creationId xmlns:a16="http://schemas.microsoft.com/office/drawing/2014/main" id="{DB56E9A7-029E-4639-8296-29B7AE0449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8</xdr:col>
      <xdr:colOff>460375</xdr:colOff>
      <xdr:row>16</xdr:row>
      <xdr:rowOff>10583</xdr:rowOff>
    </xdr:to>
    <xdr:graphicFrame macro="">
      <xdr:nvGraphicFramePr>
        <xdr:cNvPr id="2" name="1 Gráfico">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15</xdr:row>
      <xdr:rowOff>9525</xdr:rowOff>
    </xdr:from>
    <xdr:to>
      <xdr:col>3</xdr:col>
      <xdr:colOff>38100</xdr:colOff>
      <xdr:row>30</xdr:row>
      <xdr:rowOff>104775</xdr:rowOff>
    </xdr:to>
    <mc:AlternateContent xmlns:mc="http://schemas.openxmlformats.org/markup-compatibility/2006" xmlns:a14="http://schemas.microsoft.com/office/drawing/2010/main">
      <mc:Choice Requires="a14">
        <xdr:graphicFrame macro="">
          <xdr:nvGraphicFramePr>
            <xdr:cNvPr id="2" name="entidad">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entidad"/>
            </a:graphicData>
          </a:graphic>
        </xdr:graphicFrame>
      </mc:Choice>
      <mc:Fallback xmlns="">
        <xdr:sp macro="" textlink="">
          <xdr:nvSpPr>
            <xdr:cNvPr id="0" name=""/>
            <xdr:cNvSpPr>
              <a:spLocks noTextEdit="1"/>
            </xdr:cNvSpPr>
          </xdr:nvSpPr>
          <xdr:spPr>
            <a:xfrm>
              <a:off x="209550" y="2505075"/>
              <a:ext cx="1828800" cy="2524125"/>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7</xdr:col>
      <xdr:colOff>571500</xdr:colOff>
      <xdr:row>13</xdr:row>
      <xdr:rowOff>109903</xdr:rowOff>
    </xdr:to>
    <xdr:graphicFrame macro="">
      <xdr:nvGraphicFramePr>
        <xdr:cNvPr id="2" name="1 Gráfico">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534918</xdr:colOff>
      <xdr:row>2</xdr:row>
      <xdr:rowOff>124239</xdr:rowOff>
    </xdr:to>
    <xdr:pic>
      <xdr:nvPicPr>
        <xdr:cNvPr id="4" name="Imagen 3">
          <a:extLst>
            <a:ext uri="{FF2B5EF4-FFF2-40B4-BE49-F238E27FC236}">
              <a16:creationId xmlns:a16="http://schemas.microsoft.com/office/drawing/2014/main" id="{879FE89E-5007-49F3-BEC3-B832F86E807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8</xdr:col>
      <xdr:colOff>484188</xdr:colOff>
      <xdr:row>16</xdr:row>
      <xdr:rowOff>10583</xdr:rowOff>
    </xdr:to>
    <xdr:graphicFrame macro="">
      <xdr:nvGraphicFramePr>
        <xdr:cNvPr id="2" name="1 Gráfico">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116418</xdr:colOff>
      <xdr:row>6</xdr:row>
      <xdr:rowOff>23811</xdr:rowOff>
    </xdr:from>
    <xdr:to>
      <xdr:col>9</xdr:col>
      <xdr:colOff>492126</xdr:colOff>
      <xdr:row>13</xdr:row>
      <xdr:rowOff>7937</xdr:rowOff>
    </xdr:to>
    <xdr:graphicFrame macro="">
      <xdr:nvGraphicFramePr>
        <xdr:cNvPr id="2" name="1 Gráfico">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26918</xdr:colOff>
      <xdr:row>2</xdr:row>
      <xdr:rowOff>124239</xdr:rowOff>
    </xdr:to>
    <xdr:pic>
      <xdr:nvPicPr>
        <xdr:cNvPr id="4" name="Imagen 3">
          <a:extLst>
            <a:ext uri="{FF2B5EF4-FFF2-40B4-BE49-F238E27FC236}">
              <a16:creationId xmlns:a16="http://schemas.microsoft.com/office/drawing/2014/main" id="{598EE9ED-75DB-48A5-BDAE-17F8673379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9</xdr:col>
      <xdr:colOff>571500</xdr:colOff>
      <xdr:row>13</xdr:row>
      <xdr:rowOff>15875</xdr:rowOff>
    </xdr:to>
    <xdr:graphicFrame macro="">
      <xdr:nvGraphicFramePr>
        <xdr:cNvPr id="2" name="1 Gráfico">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542855</xdr:colOff>
      <xdr:row>2</xdr:row>
      <xdr:rowOff>124239</xdr:rowOff>
    </xdr:to>
    <xdr:pic>
      <xdr:nvPicPr>
        <xdr:cNvPr id="4" name="Imagen 3">
          <a:extLst>
            <a:ext uri="{FF2B5EF4-FFF2-40B4-BE49-F238E27FC236}">
              <a16:creationId xmlns:a16="http://schemas.microsoft.com/office/drawing/2014/main" id="{A0D188C8-A4F1-4EEE-8A39-3431D07CBCA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116416</xdr:colOff>
      <xdr:row>6</xdr:row>
      <xdr:rowOff>55562</xdr:rowOff>
    </xdr:from>
    <xdr:to>
      <xdr:col>9</xdr:col>
      <xdr:colOff>500062</xdr:colOff>
      <xdr:row>14</xdr:row>
      <xdr:rowOff>47625</xdr:rowOff>
    </xdr:to>
    <xdr:graphicFrame macro="">
      <xdr:nvGraphicFramePr>
        <xdr:cNvPr id="2" name="1 Gráfico">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542855</xdr:colOff>
      <xdr:row>2</xdr:row>
      <xdr:rowOff>124239</xdr:rowOff>
    </xdr:to>
    <xdr:pic>
      <xdr:nvPicPr>
        <xdr:cNvPr id="5" name="Imagen 4">
          <a:extLst>
            <a:ext uri="{FF2B5EF4-FFF2-40B4-BE49-F238E27FC236}">
              <a16:creationId xmlns:a16="http://schemas.microsoft.com/office/drawing/2014/main" id="{E9F6B8AF-9606-402B-BFE6-12F6B0CCA1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116417</xdr:colOff>
      <xdr:row>6</xdr:row>
      <xdr:rowOff>23812</xdr:rowOff>
    </xdr:from>
    <xdr:to>
      <xdr:col>9</xdr:col>
      <xdr:colOff>555625</xdr:colOff>
      <xdr:row>14</xdr:row>
      <xdr:rowOff>39687</xdr:rowOff>
    </xdr:to>
    <xdr:graphicFrame macro="">
      <xdr:nvGraphicFramePr>
        <xdr:cNvPr id="2" name="1 Gráfico">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11043</xdr:colOff>
      <xdr:row>2</xdr:row>
      <xdr:rowOff>124239</xdr:rowOff>
    </xdr:to>
    <xdr:pic>
      <xdr:nvPicPr>
        <xdr:cNvPr id="4" name="Imagen 3">
          <a:extLst>
            <a:ext uri="{FF2B5EF4-FFF2-40B4-BE49-F238E27FC236}">
              <a16:creationId xmlns:a16="http://schemas.microsoft.com/office/drawing/2014/main" id="{6957816B-CB68-4B5D-9885-A20164E5051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4</xdr:col>
      <xdr:colOff>447675</xdr:colOff>
      <xdr:row>10</xdr:row>
      <xdr:rowOff>38100</xdr:rowOff>
    </xdr:to>
    <xdr:graphicFrame macro="">
      <xdr:nvGraphicFramePr>
        <xdr:cNvPr id="2" name="1 Gráfico">
          <a:extLst>
            <a:ext uri="{FF2B5EF4-FFF2-40B4-BE49-F238E27FC236}">
              <a16:creationId xmlns:a16="http://schemas.microsoft.com/office/drawing/2014/main" id="{D3F6F820-1F4C-4A48-B77C-0D01CA80D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1074668</xdr:colOff>
      <xdr:row>2</xdr:row>
      <xdr:rowOff>124239</xdr:rowOff>
    </xdr:to>
    <xdr:pic>
      <xdr:nvPicPr>
        <xdr:cNvPr id="3" name="Imagen 2">
          <a:extLst>
            <a:ext uri="{FF2B5EF4-FFF2-40B4-BE49-F238E27FC236}">
              <a16:creationId xmlns:a16="http://schemas.microsoft.com/office/drawing/2014/main" id="{ED01D3EA-A8E5-493F-9FF8-0CB4D9D5B46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4718" cy="50523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7</xdr:col>
      <xdr:colOff>523875</xdr:colOff>
      <xdr:row>12</xdr:row>
      <xdr:rowOff>190499</xdr:rowOff>
    </xdr:to>
    <xdr:graphicFrame macro="">
      <xdr:nvGraphicFramePr>
        <xdr:cNvPr id="2" name="1 Gráfico">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553235</xdr:colOff>
      <xdr:row>2</xdr:row>
      <xdr:rowOff>124239</xdr:rowOff>
    </xdr:to>
    <xdr:pic>
      <xdr:nvPicPr>
        <xdr:cNvPr id="4" name="Imagen 3">
          <a:extLst>
            <a:ext uri="{FF2B5EF4-FFF2-40B4-BE49-F238E27FC236}">
              <a16:creationId xmlns:a16="http://schemas.microsoft.com/office/drawing/2014/main" id="{A6036992-F3A5-4B63-A060-8E364B8D7FD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16</xdr:row>
      <xdr:rowOff>11564</xdr:rowOff>
    </xdr:from>
    <xdr:to>
      <xdr:col>3</xdr:col>
      <xdr:colOff>1510619</xdr:colOff>
      <xdr:row>33</xdr:row>
      <xdr:rowOff>121102</xdr:rowOff>
    </xdr:to>
    <xdr:graphicFrame macro="">
      <xdr:nvGraphicFramePr>
        <xdr:cNvPr id="2" name="Gráfico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1179443</xdr:colOff>
      <xdr:row>2</xdr:row>
      <xdr:rowOff>124239</xdr:rowOff>
    </xdr:to>
    <xdr:pic>
      <xdr:nvPicPr>
        <xdr:cNvPr id="6" name="Imagen 5">
          <a:extLst>
            <a:ext uri="{FF2B5EF4-FFF2-40B4-BE49-F238E27FC236}">
              <a16:creationId xmlns:a16="http://schemas.microsoft.com/office/drawing/2014/main" id="{1EB465AA-20D0-4645-ADBA-86D89DAD5A7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27214</xdr:colOff>
      <xdr:row>15</xdr:row>
      <xdr:rowOff>173141</xdr:rowOff>
    </xdr:from>
    <xdr:to>
      <xdr:col>3</xdr:col>
      <xdr:colOff>1514019</xdr:colOff>
      <xdr:row>33</xdr:row>
      <xdr:rowOff>92179</xdr:rowOff>
    </xdr:to>
    <xdr:graphicFrame macro="">
      <xdr:nvGraphicFramePr>
        <xdr:cNvPr id="2" name="Gráfico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1179443</xdr:colOff>
      <xdr:row>2</xdr:row>
      <xdr:rowOff>124239</xdr:rowOff>
    </xdr:to>
    <xdr:pic>
      <xdr:nvPicPr>
        <xdr:cNvPr id="6" name="Imagen 5">
          <a:extLst>
            <a:ext uri="{FF2B5EF4-FFF2-40B4-BE49-F238E27FC236}">
              <a16:creationId xmlns:a16="http://schemas.microsoft.com/office/drawing/2014/main" id="{D16E7BF4-A553-4FED-8115-FC98556F549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5</xdr:col>
      <xdr:colOff>95250</xdr:colOff>
      <xdr:row>2</xdr:row>
      <xdr:rowOff>171450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3171825" cy="514350"/>
        </a:xfrm>
        <a:prstGeom prst="rect">
          <a:avLst/>
        </a:prstGeom>
        <a:noFill/>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17464</xdr:colOff>
      <xdr:row>16</xdr:row>
      <xdr:rowOff>15875</xdr:rowOff>
    </xdr:from>
    <xdr:to>
      <xdr:col>3</xdr:col>
      <xdr:colOff>1509712</xdr:colOff>
      <xdr:row>33</xdr:row>
      <xdr:rowOff>144463</xdr:rowOff>
    </xdr:to>
    <xdr:graphicFrame macro="">
      <xdr:nvGraphicFramePr>
        <xdr:cNvPr id="2" name="Gráfico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1179443</xdr:colOff>
      <xdr:row>2</xdr:row>
      <xdr:rowOff>124239</xdr:rowOff>
    </xdr:to>
    <xdr:pic>
      <xdr:nvPicPr>
        <xdr:cNvPr id="6" name="Imagen 5">
          <a:extLst>
            <a:ext uri="{FF2B5EF4-FFF2-40B4-BE49-F238E27FC236}">
              <a16:creationId xmlns:a16="http://schemas.microsoft.com/office/drawing/2014/main" id="{F9AFB6E4-AC96-4060-938C-D4FA4CC2F6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40821</xdr:colOff>
      <xdr:row>16</xdr:row>
      <xdr:rowOff>41276</xdr:rowOff>
    </xdr:from>
    <xdr:to>
      <xdr:col>3</xdr:col>
      <xdr:colOff>1533069</xdr:colOff>
      <xdr:row>33</xdr:row>
      <xdr:rowOff>150814</xdr:rowOff>
    </xdr:to>
    <xdr:graphicFrame macro="">
      <xdr:nvGraphicFramePr>
        <xdr:cNvPr id="2" name="Gráfico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1179443</xdr:colOff>
      <xdr:row>2</xdr:row>
      <xdr:rowOff>124239</xdr:rowOff>
    </xdr:to>
    <xdr:pic>
      <xdr:nvPicPr>
        <xdr:cNvPr id="6" name="Imagen 5">
          <a:extLst>
            <a:ext uri="{FF2B5EF4-FFF2-40B4-BE49-F238E27FC236}">
              <a16:creationId xmlns:a16="http://schemas.microsoft.com/office/drawing/2014/main" id="{9E20A376-7E8E-4F95-B82E-32814C81D4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16</xdr:row>
      <xdr:rowOff>8219</xdr:rowOff>
    </xdr:from>
    <xdr:to>
      <xdr:col>3</xdr:col>
      <xdr:colOff>1524000</xdr:colOff>
      <xdr:row>33</xdr:row>
      <xdr:rowOff>108232</xdr:rowOff>
    </xdr:to>
    <xdr:graphicFrame macro="">
      <xdr:nvGraphicFramePr>
        <xdr:cNvPr id="2" name="Gráfico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1179443</xdr:colOff>
      <xdr:row>2</xdr:row>
      <xdr:rowOff>124239</xdr:rowOff>
    </xdr:to>
    <xdr:pic>
      <xdr:nvPicPr>
        <xdr:cNvPr id="6" name="Imagen 5">
          <a:extLst>
            <a:ext uri="{FF2B5EF4-FFF2-40B4-BE49-F238E27FC236}">
              <a16:creationId xmlns:a16="http://schemas.microsoft.com/office/drawing/2014/main" id="{3E700D8B-C0A1-4E0D-BBDB-C69C95C737C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34018</xdr:colOff>
      <xdr:row>16</xdr:row>
      <xdr:rowOff>69397</xdr:rowOff>
    </xdr:from>
    <xdr:to>
      <xdr:col>3</xdr:col>
      <xdr:colOff>1526266</xdr:colOff>
      <xdr:row>33</xdr:row>
      <xdr:rowOff>178935</xdr:rowOff>
    </xdr:to>
    <xdr:graphicFrame macro="">
      <xdr:nvGraphicFramePr>
        <xdr:cNvPr id="2" name="Gráfico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1176130</xdr:colOff>
      <xdr:row>2</xdr:row>
      <xdr:rowOff>124239</xdr:rowOff>
    </xdr:to>
    <xdr:pic>
      <xdr:nvPicPr>
        <xdr:cNvPr id="6" name="Imagen 5">
          <a:extLst>
            <a:ext uri="{FF2B5EF4-FFF2-40B4-BE49-F238E27FC236}">
              <a16:creationId xmlns:a16="http://schemas.microsoft.com/office/drawing/2014/main" id="{FD71DFCC-42B9-42A6-8797-01FF171B85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15</xdr:row>
      <xdr:rowOff>166330</xdr:rowOff>
    </xdr:from>
    <xdr:to>
      <xdr:col>3</xdr:col>
      <xdr:colOff>1504950</xdr:colOff>
      <xdr:row>33</xdr:row>
      <xdr:rowOff>121675</xdr:rowOff>
    </xdr:to>
    <xdr:graphicFrame macro="">
      <xdr:nvGraphicFramePr>
        <xdr:cNvPr id="3" name="Gráfico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1176130</xdr:colOff>
      <xdr:row>2</xdr:row>
      <xdr:rowOff>124239</xdr:rowOff>
    </xdr:to>
    <xdr:pic>
      <xdr:nvPicPr>
        <xdr:cNvPr id="6" name="Imagen 5">
          <a:extLst>
            <a:ext uri="{FF2B5EF4-FFF2-40B4-BE49-F238E27FC236}">
              <a16:creationId xmlns:a16="http://schemas.microsoft.com/office/drawing/2014/main" id="{F136638A-0EF1-41AE-B842-D7799545D8C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116416</xdr:colOff>
      <xdr:row>6</xdr:row>
      <xdr:rowOff>23812</xdr:rowOff>
    </xdr:from>
    <xdr:to>
      <xdr:col>8</xdr:col>
      <xdr:colOff>492124</xdr:colOff>
      <xdr:row>16</xdr:row>
      <xdr:rowOff>10583</xdr:rowOff>
    </xdr:to>
    <xdr:graphicFrame macro="">
      <xdr:nvGraphicFramePr>
        <xdr:cNvPr id="2" name="1 Gráfico">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296862</xdr:colOff>
      <xdr:row>2</xdr:row>
      <xdr:rowOff>92075</xdr:rowOff>
    </xdr:to>
    <xdr:pic>
      <xdr:nvPicPr>
        <xdr:cNvPr id="4" name="Imagen 3">
          <a:extLst>
            <a:ext uri="{FF2B5EF4-FFF2-40B4-BE49-F238E27FC236}">
              <a16:creationId xmlns:a16="http://schemas.microsoft.com/office/drawing/2014/main" id="{00000000-0008-0000-26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019425" cy="473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2399454</xdr:colOff>
      <xdr:row>2</xdr:row>
      <xdr:rowOff>171450</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57150"/>
          <a:ext cx="2399454"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312668</xdr:colOff>
      <xdr:row>2</xdr:row>
      <xdr:rowOff>124239</xdr:rowOff>
    </xdr:to>
    <xdr:pic>
      <xdr:nvPicPr>
        <xdr:cNvPr id="3" name="Imagen 2">
          <a:extLst>
            <a:ext uri="{FF2B5EF4-FFF2-40B4-BE49-F238E27FC236}">
              <a16:creationId xmlns:a16="http://schemas.microsoft.com/office/drawing/2014/main" id="{872E2CFF-E4B5-4033-AB85-E7881AF9A3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447415</xdr:colOff>
      <xdr:row>2</xdr:row>
      <xdr:rowOff>123771</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381000" y="76200"/>
          <a:ext cx="2076190" cy="4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397565</xdr:colOff>
      <xdr:row>5</xdr:row>
      <xdr:rowOff>73508</xdr:rowOff>
    </xdr:from>
    <xdr:to>
      <xdr:col>7</xdr:col>
      <xdr:colOff>472108</xdr:colOff>
      <xdr:row>13</xdr:row>
      <xdr:rowOff>33130</xdr:rowOff>
    </xdr:to>
    <xdr:graphicFrame macro="">
      <xdr:nvGraphicFramePr>
        <xdr:cNvPr id="2" name="1 Gráfico">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532847</xdr:colOff>
      <xdr:row>2</xdr:row>
      <xdr:rowOff>124239</xdr:rowOff>
    </xdr:to>
    <xdr:pic>
      <xdr:nvPicPr>
        <xdr:cNvPr id="4" name="Imagen 3">
          <a:extLst>
            <a:ext uri="{FF2B5EF4-FFF2-40B4-BE49-F238E27FC236}">
              <a16:creationId xmlns:a16="http://schemas.microsoft.com/office/drawing/2014/main" id="{B91C6A71-CF60-49C6-9FC8-1F53BB6894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116420</xdr:colOff>
      <xdr:row>6</xdr:row>
      <xdr:rowOff>23812</xdr:rowOff>
    </xdr:from>
    <xdr:to>
      <xdr:col>7</xdr:col>
      <xdr:colOff>604631</xdr:colOff>
      <xdr:row>13</xdr:row>
      <xdr:rowOff>33131</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508000</xdr:colOff>
      <xdr:row>2</xdr:row>
      <xdr:rowOff>124239</xdr:rowOff>
    </xdr:to>
    <xdr:pic>
      <xdr:nvPicPr>
        <xdr:cNvPr id="4" name="Imagen 3">
          <a:extLst>
            <a:ext uri="{FF2B5EF4-FFF2-40B4-BE49-F238E27FC236}">
              <a16:creationId xmlns:a16="http://schemas.microsoft.com/office/drawing/2014/main" id="{8DC63A8D-AFBA-49F8-ADA2-2D3912A1DEB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99853</xdr:colOff>
      <xdr:row>5</xdr:row>
      <xdr:rowOff>90073</xdr:rowOff>
    </xdr:from>
    <xdr:to>
      <xdr:col>7</xdr:col>
      <xdr:colOff>538369</xdr:colOff>
      <xdr:row>13</xdr:row>
      <xdr:rowOff>0</xdr:rowOff>
    </xdr:to>
    <xdr:graphicFrame macro="">
      <xdr:nvGraphicFramePr>
        <xdr:cNvPr id="2" name="1 Gráfico">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532847</xdr:colOff>
      <xdr:row>2</xdr:row>
      <xdr:rowOff>124239</xdr:rowOff>
    </xdr:to>
    <xdr:pic>
      <xdr:nvPicPr>
        <xdr:cNvPr id="4" name="Imagen 3">
          <a:extLst>
            <a:ext uri="{FF2B5EF4-FFF2-40B4-BE49-F238E27FC236}">
              <a16:creationId xmlns:a16="http://schemas.microsoft.com/office/drawing/2014/main" id="{C7E00170-BC95-4E8A-A045-68B7AD3D6D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41543" cy="505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oolkit\Backup\GSIGALA\D\Trabajo\bases_datos\Indicadores\SistemaConsultaIndicador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alep" refreshedDate="44960.729468865742" createdVersion="6" refreshedVersion="6" minRefreshableVersion="3" recordCount="374" xr:uid="{00000000-000A-0000-FFFF-FFFF9F000000}">
  <cacheSource type="worksheet">
    <worksheetSource ref="A1:AY375" sheet="base_general"/>
  </cacheSource>
  <cacheFields count="77">
    <cacheField name="sost" numFmtId="0">
      <sharedItems count="3">
        <s v="Estatal"/>
        <s v="Federal"/>
        <s v="Otro"/>
      </sharedItems>
    </cacheField>
    <cacheField name="cve" numFmtId="0">
      <sharedItems containsSemiMixedTypes="0" containsString="0" containsNumber="1" containsInteger="1" minValue="0" maxValue="33"/>
    </cacheField>
    <cacheField name="siglema" numFmtId="0">
      <sharedItems/>
    </cacheField>
    <cacheField name="entidad" numFmtId="0">
      <sharedItems count="34">
        <s v="Aguascalientes"/>
        <s v="Baja California"/>
        <s v="Baja California Sur"/>
        <s v="Campeche"/>
        <s v="Chiapas"/>
        <s v="Chihuahua"/>
        <s v="Ciudad de México"/>
        <s v="Coahuila de Zaragoza"/>
        <s v="Colima"/>
        <s v="Durango"/>
        <s v="Guanajuato"/>
        <s v="Guerrero"/>
        <s v="Hidalgo"/>
        <s v="Jalisco"/>
        <s v="México"/>
        <s v="Michoacán de Ocampo"/>
        <s v="Morelos"/>
        <s v="Nayarit"/>
        <s v="Nuevo León"/>
        <s v="Oaxaca"/>
        <s v="Puebla"/>
        <s v="Querétaro de Arteaga"/>
        <s v="Quintana Roo"/>
        <s v="San Luis Potosí"/>
        <s v="Sinaloa"/>
        <s v="Sonora"/>
        <s v="Tabasco"/>
        <s v="Tamaulipas"/>
        <s v="Tlaxcala"/>
        <s v="Veracruz llave"/>
        <s v="Yucatán"/>
        <s v="Zacatecas"/>
        <s v="Otros"/>
        <s v="Oficinas Nacionales"/>
      </sharedItems>
    </cacheField>
    <cacheField name="periodo" numFmtId="0">
      <sharedItems/>
    </cacheField>
    <cacheField name="Año" numFmtId="0">
      <sharedItems containsSemiMixedTypes="0" containsString="0" containsNumber="1" containsInteger="1" minValue="2012" maxValue="2022" count="11">
        <n v="2022"/>
        <n v="2021"/>
        <n v="2012"/>
        <n v="2013"/>
        <n v="2014"/>
        <n v="2015"/>
        <n v="2016"/>
        <n v="2017"/>
        <n v="2018"/>
        <n v="2019"/>
        <n v="2020"/>
      </sharedItems>
    </cacheField>
    <cacheField name="matricula" numFmtId="3">
      <sharedItems containsString="0" containsBlank="1" containsNumber="1" containsInteger="1" minValue="1312" maxValue="50543"/>
    </cacheField>
    <cacheField name="inscritos" numFmtId="3">
      <sharedItems containsString="0" containsBlank="1" containsNumber="1" containsInteger="1" minValue="526" maxValue="20621"/>
    </cacheField>
    <cacheField name="reinscritos" numFmtId="3">
      <sharedItems containsString="0" containsBlank="1" containsNumber="1" containsInteger="1" minValue="716" maxValue="30969"/>
    </cacheField>
    <cacheField name="egresec" numFmtId="3">
      <sharedItems containsString="0" containsBlank="1" containsNumber="1" containsInteger="1" minValue="8273" maxValue="291713"/>
    </cacheField>
    <cacheField name="aulas" numFmtId="3">
      <sharedItems containsString="0" containsBlank="1" containsNumber="1" containsInteger="1" minValue="17" maxValue="799"/>
    </cacheField>
    <cacheField name="talleres" numFmtId="3">
      <sharedItems containsString="0" containsBlank="1" containsNumber="1" containsInteger="1" minValue="5" maxValue="188"/>
    </cacheField>
    <cacheField name="laboratorios" numFmtId="3">
      <sharedItems containsString="0" containsBlank="1" containsNumber="1" containsInteger="1" minValue="1" maxValue="223"/>
    </cacheField>
    <cacheField name="alu_1517" numFmtId="3">
      <sharedItems containsString="0" containsBlank="1" containsNumber="1" containsInteger="1" minValue="1059" maxValue="45965"/>
    </cacheField>
    <cacheField name="pob_1517" numFmtId="3">
      <sharedItems containsString="0" containsBlank="1" containsNumber="1" minValue="37630.754876559426" maxValue="917185.11715291278"/>
    </cacheField>
    <cacheField name="aspirantes" numFmtId="3">
      <sharedItems containsString="0" containsBlank="1" containsNumber="1" containsInteger="1" minValue="664" maxValue="30447"/>
    </cacheField>
    <cacheField name="matricula_n" numFmtId="3">
      <sharedItems containsString="0" containsBlank="1" containsNumber="1" containsInteger="1" minValue="1312" maxValue="48591"/>
    </cacheField>
    <cacheField name="egre_n" numFmtId="3">
      <sharedItems containsString="0" containsBlank="1" containsNumber="1" containsInteger="1" minValue="223" maxValue="12467"/>
    </cacheField>
    <cacheField name="reprobados" numFmtId="3">
      <sharedItems containsString="0" containsBlank="1" containsNumber="1" containsInteger="1" minValue="11" maxValue="12730"/>
    </cacheField>
    <cacheField name="mat_rep" numFmtId="3">
      <sharedItems containsString="0" containsBlank="1" containsNumber="1" containsInteger="1" minValue="1067" maxValue="45825"/>
    </cacheField>
    <cacheField name="ni_et" numFmtId="3">
      <sharedItems containsString="0" containsBlank="1" containsNumber="1" containsInteger="1" minValue="572" maxValue="22526"/>
    </cacheField>
    <cacheField name="egre_et" numFmtId="3">
      <sharedItems containsString="0" containsBlank="1" containsNumber="1" containsInteger="1" minValue="181" maxValue="11113"/>
    </cacheField>
    <cacheField name="egre_tit" numFmtId="3">
      <sharedItems containsString="0" containsBlank="1" containsNumber="1" containsInteger="1" minValue="214" maxValue="10186"/>
    </cacheField>
    <cacheField name="titulados" numFmtId="3">
      <sharedItems containsString="0" containsBlank="1" containsNumber="1" containsInteger="1" minValue="136" maxValue="7895"/>
    </cacheField>
    <cacheField name="matcosto" numFmtId="3">
      <sharedItems containsString="0" containsBlank="1" containsNumber="1" containsInteger="1" minValue="1312" maxValue="50543"/>
    </cacheField>
    <cacheField name="presuejer" numFmtId="3">
      <sharedItems containsString="0" containsBlank="1" containsNumber="1" minValue="26873657" maxValue="899576487.46477783"/>
    </cacheField>
    <cacheField name="docentes" numFmtId="3">
      <sharedItems containsString="0" containsBlank="1" containsNumber="1" containsInteger="1" minValue="42" maxValue="2613"/>
    </cacheField>
    <cacheField name="pcedu" numFmtId="3">
      <sharedItems containsString="0" containsBlank="1" containsNumber="1" containsInteger="1" minValue="155" maxValue="4445"/>
    </cacheField>
    <cacheField name="capacitados" numFmtId="0">
      <sharedItems containsString="0" containsBlank="1" containsNumber="1" containsInteger="1" minValue="0" maxValue="57312"/>
    </cacheField>
    <cacheField name="becaext" numFmtId="3">
      <sharedItems containsString="0" containsBlank="1" containsNumber="1" containsInteger="1" minValue="0" maxValue="7841"/>
    </cacheField>
    <cacheField name="alum_bolsa" numFmtId="3">
      <sharedItems containsString="0" containsBlank="1" containsNumber="1" containsInteger="1" minValue="0" maxValue="1832"/>
    </cacheField>
    <cacheField name="alum_colo_bolsa" numFmtId="3">
      <sharedItems containsString="0" containsBlank="1" containsNumber="1" containsInteger="1" minValue="0" maxValue="2037"/>
    </cacheField>
    <cacheField name="evaluacion" numFmtId="3">
      <sharedItems containsString="0" containsBlank="1" containsNumber="1" containsInteger="1" minValue="0" maxValue="101712"/>
    </cacheField>
    <cacheField name="certificacion" numFmtId="3">
      <sharedItems containsString="0" containsBlank="1" containsNumber="1" containsInteger="1" minValue="0" maxValue="73570"/>
    </cacheField>
    <cacheField name="servtec" numFmtId="3">
      <sharedItems containsString="0" containsBlank="1" containsNumber="1" containsInteger="1" minValue="15" maxValue="16429"/>
    </cacheField>
    <cacheField name="gastodoc" numFmtId="3">
      <sharedItems containsString="0" containsBlank="1" containsNumber="1" minValue="256402" maxValue="504351.18284999998"/>
    </cacheField>
    <cacheField name="gastoejercido" numFmtId="3">
      <sharedItems containsString="0" containsBlank="1" containsNumber="1" minValue="1422011.4" maxValue="1716208.933"/>
    </cacheField>
    <cacheField name="presejertot" numFmtId="3">
      <sharedItems containsString="0" containsBlank="1" containsNumber="1" minValue="1422011.4" maxValue="1716208.933"/>
    </cacheField>
    <cacheField name="presereptot" numFmtId="3">
      <sharedItems containsString="0" containsBlank="1" containsNumber="1" minValue="1425249.5" maxValue="1725174.2520000001"/>
    </cacheField>
    <cacheField name="presejerf" numFmtId="3">
      <sharedItems containsString="0" containsBlank="1" containsNumber="1" minValue="1296985" maxValue="1680174.2520000001"/>
    </cacheField>
    <cacheField name="presreprf" numFmtId="3">
      <sharedItems containsString="0" containsBlank="1" containsNumber="1" minValue="1296985" maxValue="1680174.2520000001"/>
    </cacheField>
    <cacheField name="gcejercido" numFmtId="3">
      <sharedItems containsString="0" containsBlank="1" containsNumber="1" minValue="1334976.8" maxValue="1716208.933"/>
    </cacheField>
    <cacheField name="presrepgc" numFmtId="3">
      <sharedItems containsString="0" containsBlank="1" containsNumber="1" minValue="1339687.2" maxValue="1725174.2520000001"/>
    </cacheField>
    <cacheField name="giejer" numFmtId="3">
      <sharedItems containsString="0" containsBlank="1" containsNumber="1" minValue="0" maxValue="115068.5"/>
    </cacheField>
    <cacheField name="presrepgi" numFmtId="3">
      <sharedItems containsString="0" containsBlank="1" containsNumber="1" minValue="0" maxValue="118119"/>
    </cacheField>
    <cacheField name="ipejer" numFmtId="3">
      <sharedItems containsString="0" containsBlank="1" containsNumber="1" minValue="27755.044000000002" maxValue="114038"/>
    </cacheField>
    <cacheField name="presupejerip" numFmtId="3">
      <sharedItems containsString="0" containsBlank="1" containsNumber="1" minValue="1422011.4" maxValue="1716208.933"/>
    </cacheField>
    <cacheField name="ipcapt" numFmtId="3">
      <sharedItems containsString="0" containsBlank="1" containsNumber="1" minValue="27668.057000000001" maxValue="113831"/>
    </cacheField>
    <cacheField name="ipprog" numFmtId="3">
      <sharedItems containsString="0" containsBlank="1" containsNumber="1" minValue="40000" maxValue="121799"/>
    </cacheField>
    <cacheField name="presejerpr" numFmtId="3">
      <sharedItems containsString="0" containsBlank="1" containsNumber="1" minValue="1422011.4" maxValue="1581332.3219999999"/>
    </cacheField>
    <cacheField name="presreppr" numFmtId="3">
      <sharedItems containsString="0" containsBlank="1" containsNumber="1" minValue="1425249.5" maxValue="1587193.57"/>
    </cacheField>
    <cacheField name="AE" numFmtId="0" formula="( 1-((matricula-inscritos+egre_n) /matricula_n))*100" databaseField="0"/>
    <cacheField name="TIT" numFmtId="0" formula="titulados/egre_tit*100" databaseField="0"/>
    <cacheField name="COB" numFmtId="0" formula="alu_1517/pob_1517*100" databaseField="0"/>
    <cacheField name="ATN" numFmtId="0" formula="inscritos/aspirantes*100" databaseField="0"/>
    <cacheField name="ABS" numFmtId="0" formula="inscritos/egresec*100" databaseField="0"/>
    <cacheField name="ACI" numFmtId="0" formula="(matricula/(aulas*40*2))*100" databaseField="0"/>
    <cacheField name="REP" numFmtId="0" formula="reprobados/mat_rep*100" databaseField="0"/>
    <cacheField name="TE" numFmtId="0" formula="#NAME?/#NAME?*100" databaseField="0"/>
    <cacheField name="COSTO" numFmtId="0" formula="IF(presuejer=0,0,presuejer/matcosto)" databaseField="0"/>
    <cacheField name="ET" numFmtId="0" formula="egre_et/ni_et*100" databaseField="0"/>
    <cacheField name="ADOC" numFmtId="0" formula="matricula/docentes" databaseField="0"/>
    <cacheField name="BECAS" numFmtId="0" formula="#NAME?/matricula*100" databaseField="0"/>
    <cacheField name="APC" numFmtId="0" formula="matricula/pcedu" databaseField="0"/>
    <cacheField name="ADMPC" numFmtId="0" formula="#NAME?/#NAME?" databaseField="0"/>
    <cacheField name="BECEXT" numFmtId="0" formula="becaext/matricula*100" databaseField="0"/>
    <cacheField name="PCSINEMS" numFmtId="0" formula="#NAME?/matricula*100" databaseField="0"/>
    <cacheField name="COSTO DOCENTE" numFmtId="0" formula="gastodoc/gastoejercido*100" databaseField="0"/>
    <cacheField name="EPRT" numFmtId="0" formula="presejertot/presereptot*100" databaseField="0"/>
    <cacheField name="EPR" numFmtId="0" formula="presejerf/presreprf*100" databaseField="0"/>
    <cacheField name="EGC" numFmtId="0" formula="gcejercido/presrepgc*100" databaseField="0"/>
    <cacheField name="EGI" numFmtId="0" formula="giejer/presrepgi*100" databaseField="0"/>
    <cacheField name="AUTO" numFmtId="0" formula="ipejer/presupejerip*100" databaseField="0"/>
    <cacheField name="CAPIP" numFmtId="0" formula="ipcapt/ipprog*100" databaseField="0"/>
    <cacheField name="CNPR" numFmtId="0" formula="presejerpr/presreppr*100" databaseField="0"/>
    <cacheField name="Abandonantres" numFmtId="0" formula="matricula_n-(matricula-inscritos+egre_n)" databaseField="0"/>
    <cacheField name="ACOLO" numFmtId="0" formula="alum_bolsa/alum_colo_bolsa*100" databaseField="0"/>
  </cacheFields>
  <extLst>
    <ext xmlns:x14="http://schemas.microsoft.com/office/spreadsheetml/2009/9/main" uri="{725AE2AE-9491-48be-B2B4-4EB974FC3084}">
      <x14:pivotCacheDefinition pivotCacheId="131166051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alep" refreshedDate="44960.729497453707" createdVersion="5" refreshedVersion="6" minRefreshableVersion="3" recordCount="340" xr:uid="{00000000-000A-0000-FFFF-FFFF98000000}">
  <cacheSource type="worksheet">
    <worksheetSource ref="A1:AY341" sheet="base_general"/>
  </cacheSource>
  <cacheFields count="76">
    <cacheField name="sost" numFmtId="0">
      <sharedItems count="3">
        <s v="Estatal"/>
        <s v="Federal"/>
        <s v="Otro"/>
      </sharedItems>
    </cacheField>
    <cacheField name="cve" numFmtId="0">
      <sharedItems containsSemiMixedTypes="0" containsString="0" containsNumber="1" containsInteger="1" minValue="0" maxValue="33"/>
    </cacheField>
    <cacheField name="siglema" numFmtId="0">
      <sharedItems/>
    </cacheField>
    <cacheField name="entidad" numFmtId="0">
      <sharedItems count="34">
        <s v="Aguascalientes"/>
        <s v="Baja California"/>
        <s v="Baja California Sur"/>
        <s v="Campeche"/>
        <s v="Chiapas"/>
        <s v="Chihuahua"/>
        <s v="Ciudad de México"/>
        <s v="Coahuila de Zaragoza"/>
        <s v="Colima"/>
        <s v="Durango"/>
        <s v="Guanajuato"/>
        <s v="Guerrero"/>
        <s v="Hidalgo"/>
        <s v="Jalisco"/>
        <s v="México"/>
        <s v="Michoacán de Ocampo"/>
        <s v="Morelos"/>
        <s v="Nayarit"/>
        <s v="Nuevo León"/>
        <s v="Oaxaca"/>
        <s v="Puebla"/>
        <s v="Querétaro de Arteaga"/>
        <s v="Quintana Roo"/>
        <s v="San Luis Potosí"/>
        <s v="Sinaloa"/>
        <s v="Sonora"/>
        <s v="Tabasco"/>
        <s v="Tamaulipas"/>
        <s v="Tlaxcala"/>
        <s v="Veracruz llave"/>
        <s v="Yucatán"/>
        <s v="Zacatecas"/>
        <s v="Otros"/>
        <s v="Oficinas Nacionales"/>
      </sharedItems>
    </cacheField>
    <cacheField name="periodo" numFmtId="0">
      <sharedItems/>
    </cacheField>
    <cacheField name="Año" numFmtId="0">
      <sharedItems containsSemiMixedTypes="0" containsString="0" containsNumber="1" containsInteger="1" minValue="2012" maxValue="2022" count="11">
        <n v="2022"/>
        <n v="2021"/>
        <n v="2012"/>
        <n v="2013"/>
        <n v="2014"/>
        <n v="2015"/>
        <n v="2016"/>
        <n v="2017"/>
        <n v="2018"/>
        <n v="2019"/>
        <n v="2020" u="1"/>
      </sharedItems>
    </cacheField>
    <cacheField name="matricula" numFmtId="3">
      <sharedItems containsString="0" containsBlank="1" containsNumber="1" containsInteger="1" minValue="1419" maxValue="50543"/>
    </cacheField>
    <cacheField name="inscritos" numFmtId="3">
      <sharedItems containsString="0" containsBlank="1" containsNumber="1" containsInteger="1" minValue="572" maxValue="20621"/>
    </cacheField>
    <cacheField name="reinscritos" numFmtId="3">
      <sharedItems containsString="0" containsBlank="1" containsNumber="1" containsInteger="1" minValue="763" maxValue="30969"/>
    </cacheField>
    <cacheField name="egresec" numFmtId="3">
      <sharedItems containsString="0" containsBlank="1" containsNumber="1" containsInteger="1" minValue="8273" maxValue="291713"/>
    </cacheField>
    <cacheField name="aulas" numFmtId="3">
      <sharedItems containsString="0" containsBlank="1" containsNumber="1" containsInteger="1" minValue="17" maxValue="799"/>
    </cacheField>
    <cacheField name="talleres" numFmtId="3">
      <sharedItems containsString="0" containsBlank="1" containsNumber="1" containsInteger="1" minValue="5" maxValue="188"/>
    </cacheField>
    <cacheField name="laboratorios" numFmtId="3">
      <sharedItems containsString="0" containsBlank="1" containsNumber="1" containsInteger="1" minValue="1" maxValue="223"/>
    </cacheField>
    <cacheField name="alu_1517" numFmtId="3">
      <sharedItems containsString="0" containsBlank="1" containsNumber="1" containsInteger="1" minValue="1119" maxValue="45965"/>
    </cacheField>
    <cacheField name="pob_1517" numFmtId="3">
      <sharedItems containsString="0" containsBlank="1" containsNumber="1" minValue="37630.754876559426" maxValue="917185.11715291278"/>
    </cacheField>
    <cacheField name="aspirantes" numFmtId="3">
      <sharedItems containsString="0" containsBlank="1" containsNumber="1" containsInteger="1" minValue="671" maxValue="30447"/>
    </cacheField>
    <cacheField name="matricula_n" numFmtId="3">
      <sharedItems containsString="0" containsBlank="1" containsNumber="1" containsInteger="1" minValue="1312" maxValue="48591"/>
    </cacheField>
    <cacheField name="egre_n" numFmtId="3">
      <sharedItems containsString="0" containsBlank="1" containsNumber="1" containsInteger="1" minValue="223" maxValue="12467"/>
    </cacheField>
    <cacheField name="reprobados" numFmtId="3">
      <sharedItems containsString="0" containsBlank="1" containsNumber="1" containsInteger="1" minValue="182" maxValue="12730"/>
    </cacheField>
    <cacheField name="mat_rep" numFmtId="3">
      <sharedItems containsString="0" containsBlank="1" containsNumber="1" containsInteger="1" minValue="1067" maxValue="45825"/>
    </cacheField>
    <cacheField name="ni_et" numFmtId="3">
      <sharedItems containsString="0" containsBlank="1" containsNumber="1" containsInteger="1" minValue="585" maxValue="22526"/>
    </cacheField>
    <cacheField name="egre_et" numFmtId="3">
      <sharedItems containsString="0" containsBlank="1" containsNumber="1" containsInteger="1" minValue="181" maxValue="11113"/>
    </cacheField>
    <cacheField name="egre_tit" numFmtId="3">
      <sharedItems containsString="0" containsBlank="1" containsNumber="1" containsInteger="1" minValue="214" maxValue="10186"/>
    </cacheField>
    <cacheField name="titulados" numFmtId="3">
      <sharedItems containsString="0" containsBlank="1" containsNumber="1" containsInteger="1" minValue="136" maxValue="7895"/>
    </cacheField>
    <cacheField name="matcosto" numFmtId="3">
      <sharedItems containsString="0" containsBlank="1" containsNumber="1" containsInteger="1" minValue="1419" maxValue="50543"/>
    </cacheField>
    <cacheField name="presuejer" numFmtId="3">
      <sharedItems containsString="0" containsBlank="1" containsNumber="1" minValue="26873657" maxValue="899576487.46477783"/>
    </cacheField>
    <cacheField name="docentes" numFmtId="3">
      <sharedItems containsString="0" containsBlank="1" containsNumber="1" containsInteger="1" minValue="42" maxValue="2613"/>
    </cacheField>
    <cacheField name="pcedu" numFmtId="3">
      <sharedItems containsString="0" containsBlank="1" containsNumber="1" containsInteger="1" minValue="155" maxValue="4445"/>
    </cacheField>
    <cacheField name="capacitados" numFmtId="0">
      <sharedItems containsString="0" containsBlank="1" containsNumber="1" containsInteger="1" minValue="0" maxValue="57312"/>
    </cacheField>
    <cacheField name="becaext" numFmtId="3">
      <sharedItems containsString="0" containsBlank="1" containsNumber="1" containsInteger="1" minValue="0" maxValue="7841"/>
    </cacheField>
    <cacheField name="alum_bolsa" numFmtId="3">
      <sharedItems containsString="0" containsBlank="1" containsNumber="1" containsInteger="1" minValue="0" maxValue="1832"/>
    </cacheField>
    <cacheField name="alum_colo_bolsa" numFmtId="3">
      <sharedItems containsString="0" containsBlank="1" containsNumber="1" containsInteger="1" minValue="0" maxValue="2037"/>
    </cacheField>
    <cacheField name="evaluacion" numFmtId="3">
      <sharedItems containsString="0" containsBlank="1" containsNumber="1" containsInteger="1" minValue="0" maxValue="101712"/>
    </cacheField>
    <cacheField name="certificacion" numFmtId="3">
      <sharedItems containsString="0" containsBlank="1" containsNumber="1" containsInteger="1" minValue="0" maxValue="73570"/>
    </cacheField>
    <cacheField name="servtec" numFmtId="3">
      <sharedItems containsString="0" containsBlank="1" containsNumber="1" containsInteger="1" minValue="15" maxValue="16429"/>
    </cacheField>
    <cacheField name="gastodoc" numFmtId="3">
      <sharedItems containsString="0" containsBlank="1" containsNumber="1" minValue="256402" maxValue="504351.18284999998"/>
    </cacheField>
    <cacheField name="gastoejercido" numFmtId="3">
      <sharedItems containsString="0" containsBlank="1" containsNumber="1" minValue="1422011.4" maxValue="1716208.933"/>
    </cacheField>
    <cacheField name="presejertot" numFmtId="3">
      <sharedItems containsString="0" containsBlank="1" containsNumber="1" minValue="1422011.4" maxValue="1716208.933"/>
    </cacheField>
    <cacheField name="presereptot" numFmtId="3">
      <sharedItems containsString="0" containsBlank="1" containsNumber="1" minValue="1425249.5" maxValue="1725174.2520000001"/>
    </cacheField>
    <cacheField name="presejerf" numFmtId="3">
      <sharedItems containsString="0" containsBlank="1" containsNumber="1" minValue="1296985" maxValue="1680174.2520000001"/>
    </cacheField>
    <cacheField name="presreprf" numFmtId="3">
      <sharedItems containsString="0" containsBlank="1" containsNumber="1" minValue="1296985" maxValue="1680174.2520000001"/>
    </cacheField>
    <cacheField name="gcejercido" numFmtId="3">
      <sharedItems containsString="0" containsBlank="1" containsNumber="1" minValue="1334976.8" maxValue="1716208.933"/>
    </cacheField>
    <cacheField name="presrepgc" numFmtId="3">
      <sharedItems containsString="0" containsBlank="1" containsNumber="1" minValue="1339687.2" maxValue="1725174.2520000001"/>
    </cacheField>
    <cacheField name="giejer" numFmtId="3">
      <sharedItems containsString="0" containsBlank="1" containsNumber="1" minValue="0" maxValue="115068.5"/>
    </cacheField>
    <cacheField name="presrepgi" numFmtId="3">
      <sharedItems containsString="0" containsBlank="1" containsNumber="1" minValue="0" maxValue="118119"/>
    </cacheField>
    <cacheField name="ipejer" numFmtId="3">
      <sharedItems containsString="0" containsBlank="1" containsNumber="1" minValue="27755.044000000002" maxValue="114038"/>
    </cacheField>
    <cacheField name="presupejerip" numFmtId="3">
      <sharedItems containsString="0" containsBlank="1" containsNumber="1" minValue="1422011.4" maxValue="1716208.933"/>
    </cacheField>
    <cacheField name="ipcapt" numFmtId="3">
      <sharedItems containsString="0" containsBlank="1" containsNumber="1" minValue="27668.057000000001" maxValue="113831"/>
    </cacheField>
    <cacheField name="ipprog" numFmtId="3">
      <sharedItems containsString="0" containsBlank="1" containsNumber="1" minValue="40000" maxValue="121799"/>
    </cacheField>
    <cacheField name="presejerpr" numFmtId="3">
      <sharedItems containsString="0" containsBlank="1" containsNumber="1" minValue="1422011.4" maxValue="1581332.3219999999"/>
    </cacheField>
    <cacheField name="presreppr" numFmtId="3">
      <sharedItems containsString="0" containsBlank="1" containsNumber="1" minValue="1425249.5" maxValue="1587193.57"/>
    </cacheField>
    <cacheField name="AE" numFmtId="0" formula="( 1-((matricula-inscritos+egre_n) /matricula_n))*100" databaseField="0"/>
    <cacheField name="TIT" numFmtId="0" formula="titulados/egre_tit*100" databaseField="0"/>
    <cacheField name="COB" numFmtId="0" formula="alu_1517/pob_1517*100" databaseField="0"/>
    <cacheField name="ATN" numFmtId="0" formula="inscritos/aspirantes*100" databaseField="0"/>
    <cacheField name="ABS" numFmtId="0" formula="inscritos/egresec*100" databaseField="0"/>
    <cacheField name="ACI" numFmtId="0" formula="(matricula/(aulas*40*2))*100" databaseField="0"/>
    <cacheField name="REP" numFmtId="0" formula="reprobados/matricula*100" databaseField="0"/>
    <cacheField name="TE" numFmtId="0" formula="#NAME?/#NAME?*100" databaseField="0"/>
    <cacheField name="COSTO" numFmtId="0" formula="IF(presuejer=0,0,presuejer/matcosto)" databaseField="0"/>
    <cacheField name="ET" numFmtId="0" formula="egre_et/ni_et*100" databaseField="0"/>
    <cacheField name="ADOC" numFmtId="0" formula="matricula/docentes" databaseField="0"/>
    <cacheField name="BECAS" numFmtId="0" formula="#NAME?/matricula*100" databaseField="0"/>
    <cacheField name="APC" numFmtId="0" formula="matricula/pcedu" databaseField="0"/>
    <cacheField name="ADMPC" numFmtId="0" formula="#NAME?/#NAME?" databaseField="0"/>
    <cacheField name="BECEXT" numFmtId="0" formula="becaext/matricula*100" databaseField="0"/>
    <cacheField name="PCSINEMS" numFmtId="0" formula="#NAME?/matricula*100" databaseField="0"/>
    <cacheField name="COSTO DOCENTE" numFmtId="0" formula="gastodoc/gastoejercido*100" databaseField="0"/>
    <cacheField name="EPRT" numFmtId="0" formula="presejertot/presereptot*100" databaseField="0"/>
    <cacheField name="EPR" numFmtId="0" formula="presejerf/presreprf*100" databaseField="0"/>
    <cacheField name="EGC" numFmtId="0" formula="gcejercido/presrepgc*100" databaseField="0"/>
    <cacheField name="EGI" numFmtId="0" formula="giejer/presrepgi*100" databaseField="0"/>
    <cacheField name="AUTO" numFmtId="0" formula="ipejer/presupejerip*100" databaseField="0"/>
    <cacheField name="CAPIP" numFmtId="0" formula="ipcapt/ipprog*100" databaseField="0"/>
    <cacheField name="CNPR" numFmtId="0" formula="presejerpr/presreppr*100" databaseField="0"/>
    <cacheField name="Abandonantres" numFmtId="0" formula="matricula_n-(matricula-inscritos+egre_n)" databaseField="0"/>
  </cacheFields>
  <extLst>
    <ext xmlns:x14="http://schemas.microsoft.com/office/spreadsheetml/2009/9/main" uri="{725AE2AE-9491-48be-B2B4-4EB974FC3084}">
      <x14:pivotCacheDefinition pivotCacheId="4"/>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alep" refreshedDate="44960.729498958332" createdVersion="6" refreshedVersion="6" minRefreshableVersion="3" recordCount="306" xr:uid="{00000000-000A-0000-FFFF-FFFF93000000}">
  <cacheSource type="worksheet">
    <worksheetSource ref="A1:AY307" sheet="base_general"/>
  </cacheSource>
  <cacheFields count="76">
    <cacheField name="sost" numFmtId="0">
      <sharedItems count="3">
        <s v="Estatal"/>
        <s v="Federal"/>
        <s v="Otro"/>
      </sharedItems>
    </cacheField>
    <cacheField name="cve" numFmtId="0">
      <sharedItems containsSemiMixedTypes="0" containsString="0" containsNumber="1" containsInteger="1" minValue="0" maxValue="33"/>
    </cacheField>
    <cacheField name="siglema" numFmtId="0">
      <sharedItems/>
    </cacheField>
    <cacheField name="entidad" numFmtId="0">
      <sharedItems count="34">
        <s v="Aguascalientes"/>
        <s v="Baja California"/>
        <s v="Baja California Sur"/>
        <s v="Campeche"/>
        <s v="Chiapas"/>
        <s v="Chihuahua"/>
        <s v="Ciudad de México"/>
        <s v="Coahuila de Zaragoza"/>
        <s v="Colima"/>
        <s v="Durango"/>
        <s v="Guanajuato"/>
        <s v="Guerrero"/>
        <s v="Hidalgo"/>
        <s v="Jalisco"/>
        <s v="México"/>
        <s v="Michoacán de Ocampo"/>
        <s v="Morelos"/>
        <s v="Nayarit"/>
        <s v="Nuevo León"/>
        <s v="Oaxaca"/>
        <s v="Puebla"/>
        <s v="Querétaro de Arteaga"/>
        <s v="Quintana Roo"/>
        <s v="San Luis Potosí"/>
        <s v="Sinaloa"/>
        <s v="Sonora"/>
        <s v="Tabasco"/>
        <s v="Tamaulipas"/>
        <s v="Tlaxcala"/>
        <s v="Veracruz llave"/>
        <s v="Yucatán"/>
        <s v="Zacatecas"/>
        <s v="Otros"/>
        <s v="Oficinas Nacionales"/>
      </sharedItems>
    </cacheField>
    <cacheField name="periodo" numFmtId="0">
      <sharedItems/>
    </cacheField>
    <cacheField name="Año" numFmtId="0">
      <sharedItems containsSemiMixedTypes="0" containsString="0" containsNumber="1" containsInteger="1" minValue="2012" maxValue="2022" count="11">
        <n v="2022"/>
        <n v="2021"/>
        <n v="2012"/>
        <n v="2013"/>
        <n v="2014"/>
        <n v="2015"/>
        <n v="2016"/>
        <n v="2017"/>
        <n v="2018"/>
        <n v="2019" u="1"/>
        <n v="2020" u="1"/>
      </sharedItems>
    </cacheField>
    <cacheField name="matricula" numFmtId="3">
      <sharedItems containsString="0" containsBlank="1" containsNumber="1" containsInteger="1" minValue="1419" maxValue="50543"/>
    </cacheField>
    <cacheField name="inscritos" numFmtId="3">
      <sharedItems containsString="0" containsBlank="1" containsNumber="1" containsInteger="1" minValue="572" maxValue="20621"/>
    </cacheField>
    <cacheField name="reinscritos" numFmtId="3">
      <sharedItems containsString="0" containsBlank="1" containsNumber="1" containsInteger="1" minValue="763" maxValue="30969"/>
    </cacheField>
    <cacheField name="egresec" numFmtId="3">
      <sharedItems containsString="0" containsBlank="1" containsNumber="1" containsInteger="1" minValue="8273" maxValue="291713"/>
    </cacheField>
    <cacheField name="aulas" numFmtId="3">
      <sharedItems containsString="0" containsBlank="1" containsNumber="1" containsInteger="1" minValue="17" maxValue="799"/>
    </cacheField>
    <cacheField name="talleres" numFmtId="3">
      <sharedItems containsString="0" containsBlank="1" containsNumber="1" containsInteger="1" minValue="5" maxValue="188"/>
    </cacheField>
    <cacheField name="laboratorios" numFmtId="3">
      <sharedItems containsString="0" containsBlank="1" containsNumber="1" containsInteger="1" minValue="1" maxValue="223"/>
    </cacheField>
    <cacheField name="alu_1517" numFmtId="3">
      <sharedItems containsString="0" containsBlank="1" containsNumber="1" containsInteger="1" minValue="1119" maxValue="45965"/>
    </cacheField>
    <cacheField name="pob_1517" numFmtId="3">
      <sharedItems containsString="0" containsBlank="1" containsNumber="1" minValue="37630.754876559426" maxValue="915661.71066119196"/>
    </cacheField>
    <cacheField name="aspirantes" numFmtId="3">
      <sharedItems containsString="0" containsBlank="1" containsNumber="1" containsInteger="1" minValue="671" maxValue="30447"/>
    </cacheField>
    <cacheField name="matricula_n" numFmtId="3">
      <sharedItems containsString="0" containsBlank="1" containsNumber="1" containsInteger="1" minValue="1312" maxValue="48591"/>
    </cacheField>
    <cacheField name="egre_n" numFmtId="3">
      <sharedItems containsString="0" containsBlank="1" containsNumber="1" containsInteger="1" minValue="223" maxValue="12467"/>
    </cacheField>
    <cacheField name="reprobados" numFmtId="3">
      <sharedItems containsString="0" containsBlank="1" containsNumber="1" containsInteger="1" minValue="182" maxValue="12730"/>
    </cacheField>
    <cacheField name="mat_rep" numFmtId="3">
      <sharedItems containsString="0" containsBlank="1" containsNumber="1" containsInteger="1" minValue="1067" maxValue="45825"/>
    </cacheField>
    <cacheField name="ni_et" numFmtId="3">
      <sharedItems containsString="0" containsBlank="1" containsNumber="1" containsInteger="1" minValue="585" maxValue="22526"/>
    </cacheField>
    <cacheField name="egre_et" numFmtId="3">
      <sharedItems containsString="0" containsBlank="1" containsNumber="1" containsInteger="1" minValue="181" maxValue="11113"/>
    </cacheField>
    <cacheField name="egre_tit" numFmtId="3">
      <sharedItems containsString="0" containsBlank="1" containsNumber="1" containsInteger="1" minValue="214" maxValue="10186"/>
    </cacheField>
    <cacheField name="titulados" numFmtId="3">
      <sharedItems containsString="0" containsBlank="1" containsNumber="1" containsInteger="1" minValue="136" maxValue="7895"/>
    </cacheField>
    <cacheField name="matcosto" numFmtId="3">
      <sharedItems containsString="0" containsBlank="1" containsNumber="1" containsInteger="1" minValue="1419" maxValue="50543"/>
    </cacheField>
    <cacheField name="presuejer" numFmtId="3">
      <sharedItems containsString="0" containsBlank="1" containsNumber="1" minValue="26873657" maxValue="899576487.46477783"/>
    </cacheField>
    <cacheField name="docentes" numFmtId="3">
      <sharedItems containsString="0" containsBlank="1" containsNumber="1" containsInteger="1" minValue="42" maxValue="2613"/>
    </cacheField>
    <cacheField name="pcedu" numFmtId="3">
      <sharedItems containsString="0" containsBlank="1" containsNumber="1" containsInteger="1" minValue="155" maxValue="4445"/>
    </cacheField>
    <cacheField name="capacitados" numFmtId="0">
      <sharedItems containsString="0" containsBlank="1" containsNumber="1" containsInteger="1" minValue="0" maxValue="57312"/>
    </cacheField>
    <cacheField name="becaext" numFmtId="3">
      <sharedItems containsString="0" containsBlank="1" containsNumber="1" containsInteger="1" minValue="0" maxValue="7841"/>
    </cacheField>
    <cacheField name="alum_bolsa" numFmtId="3">
      <sharedItems containsString="0" containsBlank="1" containsNumber="1" containsInteger="1" minValue="0" maxValue="1832"/>
    </cacheField>
    <cacheField name="alum_colo_bolsa" numFmtId="3">
      <sharedItems containsString="0" containsBlank="1" containsNumber="1" containsInteger="1" minValue="0" maxValue="2037"/>
    </cacheField>
    <cacheField name="evaluacion" numFmtId="3">
      <sharedItems containsString="0" containsBlank="1" containsNumber="1" containsInteger="1" minValue="0" maxValue="94595"/>
    </cacheField>
    <cacheField name="certificacion" numFmtId="3">
      <sharedItems containsString="0" containsBlank="1" containsNumber="1" containsInteger="1" minValue="0" maxValue="73570"/>
    </cacheField>
    <cacheField name="servtec" numFmtId="3">
      <sharedItems containsString="0" containsBlank="1" containsNumber="1" containsInteger="1" minValue="15" maxValue="16429"/>
    </cacheField>
    <cacheField name="gastodoc" numFmtId="3">
      <sharedItems containsString="0" containsBlank="1" containsNumber="1" minValue="256402" maxValue="504351.18284999998"/>
    </cacheField>
    <cacheField name="gastoejercido" numFmtId="3">
      <sharedItems containsString="0" containsBlank="1" containsNumber="1" minValue="1422011.4" maxValue="1716208.933"/>
    </cacheField>
    <cacheField name="presejertot" numFmtId="3">
      <sharedItems containsString="0" containsBlank="1" containsNumber="1" minValue="1422011.4" maxValue="1716208.933"/>
    </cacheField>
    <cacheField name="presereptot" numFmtId="3">
      <sharedItems containsString="0" containsBlank="1" containsNumber="1" minValue="1425249.5" maxValue="1725174.2520000001"/>
    </cacheField>
    <cacheField name="presejerf" numFmtId="3">
      <sharedItems containsString="0" containsBlank="1" containsNumber="1" minValue="1296985" maxValue="1680174.2520000001"/>
    </cacheField>
    <cacheField name="presreprf" numFmtId="3">
      <sharedItems containsString="0" containsBlank="1" containsNumber="1" minValue="1296985" maxValue="1680174.2520000001"/>
    </cacheField>
    <cacheField name="gcejercido" numFmtId="3">
      <sharedItems containsString="0" containsBlank="1" containsNumber="1" minValue="1334976.8" maxValue="1716208.933"/>
    </cacheField>
    <cacheField name="presrepgc" numFmtId="3">
      <sharedItems containsString="0" containsBlank="1" containsNumber="1" minValue="1339687.2" maxValue="1725174.2520000001"/>
    </cacheField>
    <cacheField name="giejer" numFmtId="3">
      <sharedItems containsString="0" containsBlank="1" containsNumber="1" minValue="0" maxValue="115068.5"/>
    </cacheField>
    <cacheField name="presrepgi" numFmtId="3">
      <sharedItems containsString="0" containsBlank="1" containsNumber="1" minValue="0" maxValue="118119"/>
    </cacheField>
    <cacheField name="ipejer" numFmtId="3">
      <sharedItems containsString="0" containsBlank="1" containsNumber="1" minValue="27755.044000000002" maxValue="114038"/>
    </cacheField>
    <cacheField name="presupejerip" numFmtId="3">
      <sharedItems containsString="0" containsBlank="1" containsNumber="1" minValue="1422011.4" maxValue="1716208.933"/>
    </cacheField>
    <cacheField name="ipcapt" numFmtId="3">
      <sharedItems containsString="0" containsBlank="1" containsNumber="1" minValue="27668.057000000001" maxValue="113831"/>
    </cacheField>
    <cacheField name="ipprog" numFmtId="3">
      <sharedItems containsString="0" containsBlank="1" containsNumber="1" minValue="40000" maxValue="121799"/>
    </cacheField>
    <cacheField name="presejerpr" numFmtId="3">
      <sharedItems containsString="0" containsBlank="1" containsNumber="1" minValue="1422011.4" maxValue="1581332.3219999999"/>
    </cacheField>
    <cacheField name="presreppr" numFmtId="3">
      <sharedItems containsString="0" containsBlank="1" containsNumber="1" minValue="1425249.5" maxValue="1587193.57"/>
    </cacheField>
    <cacheField name="AE" numFmtId="0" formula="( 1-((matricula-inscritos+egre_n) /matricula_n))*100" databaseField="0"/>
    <cacheField name="TIT" numFmtId="0" formula="titulados/egre_tit*100" databaseField="0"/>
    <cacheField name="COB" numFmtId="0" formula="alu_1517/pob_1517*100" databaseField="0"/>
    <cacheField name="ATN" numFmtId="0" formula="inscritos/aspirantes*100" databaseField="0"/>
    <cacheField name="ABS" numFmtId="0" formula="inscritos/egresec*100" databaseField="0"/>
    <cacheField name="ACI" numFmtId="0" formula="(matricula/(aulas*40*2))*100" databaseField="0"/>
    <cacheField name="REP" numFmtId="0" formula="reprobados/matricula*100" databaseField="0"/>
    <cacheField name="TE" numFmtId="0" formula="#NAME?/#NAME?*100" databaseField="0"/>
    <cacheField name="COSTO" numFmtId="0" formula="IF(presuejer=0,0,presuejer/matcosto)" databaseField="0"/>
    <cacheField name="ET" numFmtId="0" formula="egre_et/ni_et*100" databaseField="0"/>
    <cacheField name="ADOC" numFmtId="0" formula="matricula/docentes" databaseField="0"/>
    <cacheField name="BECAS" numFmtId="0" formula="#NAME?/matricula*100" databaseField="0"/>
    <cacheField name="APC" numFmtId="0" formula="matricula/pcedu" databaseField="0"/>
    <cacheField name="ADMPC" numFmtId="0" formula="#NAME?/#NAME?" databaseField="0"/>
    <cacheField name="BECEXT" numFmtId="0" formula="becaext/matricula*100" databaseField="0"/>
    <cacheField name="PCSINEMS" numFmtId="0" formula="#NAME?/matricula*100" databaseField="0"/>
    <cacheField name="COSTO DOCENTE" numFmtId="0" formula="gastodoc/gastoejercido*100" databaseField="0"/>
    <cacheField name="EPRT" numFmtId="0" formula="presejertot/presereptot*100" databaseField="0"/>
    <cacheField name="EPR" numFmtId="0" formula="presejerf/presreprf*100" databaseField="0"/>
    <cacheField name="EGC" numFmtId="0" formula="gcejercido/presrepgc*100" databaseField="0"/>
    <cacheField name="EGI" numFmtId="0" formula="giejer/presrepgi*100" databaseField="0"/>
    <cacheField name="AUTO" numFmtId="0" formula="ipejer/presupejerip*100" databaseField="0"/>
    <cacheField name="CAPIP" numFmtId="0" formula="ipcapt/ipprog*100" databaseField="0"/>
    <cacheField name="CNPR" numFmtId="0" formula="presejerpr/presreppr*100" databaseField="0"/>
    <cacheField name="Abandonantres" numFmtId="0" formula="matricula_n-(matricula-inscritos+egre_n)" databaseField="0"/>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4">
  <r>
    <x v="0"/>
    <n v="1"/>
    <s v="AGS"/>
    <x v="0"/>
    <s v="2022-2023"/>
    <x v="0"/>
    <n v="4434"/>
    <n v="1697"/>
    <n v="2737"/>
    <n v="23894"/>
    <n v="83"/>
    <n v="19"/>
    <n v="22"/>
    <n v="4097"/>
    <n v="80762"/>
    <n v="2991"/>
    <n v="4237"/>
    <n v="1017"/>
    <n v="646"/>
    <n v="3919"/>
    <n v="1624"/>
    <n v="908"/>
    <n v="1037"/>
    <n v="993"/>
    <n v="4434"/>
    <n v="82143029.864428163"/>
    <n v="268"/>
    <n v="429"/>
    <n v="2800"/>
    <n v="181"/>
    <n v="45"/>
    <n v="74"/>
    <n v="3415"/>
    <n v="2391"/>
    <m/>
    <m/>
    <m/>
    <m/>
    <m/>
    <m/>
    <m/>
    <m/>
    <m/>
    <m/>
    <m/>
    <m/>
    <m/>
    <m/>
    <m/>
    <m/>
    <m/>
  </r>
  <r>
    <x v="0"/>
    <n v="2"/>
    <s v="BC"/>
    <x v="1"/>
    <s v="2022-2023"/>
    <x v="0"/>
    <n v="9226"/>
    <n v="3945"/>
    <n v="5281"/>
    <n v="59849"/>
    <n v="125"/>
    <n v="32"/>
    <n v="24"/>
    <n v="8222"/>
    <n v="187217"/>
    <n v="4385"/>
    <n v="8841"/>
    <n v="1922"/>
    <n v="2154"/>
    <n v="8272"/>
    <n v="3476"/>
    <n v="1802"/>
    <n v="1597"/>
    <n v="1497"/>
    <n v="9226"/>
    <n v="164707369.69522417"/>
    <n v="399"/>
    <n v="749"/>
    <n v="4491"/>
    <n v="59"/>
    <n v="78"/>
    <n v="161"/>
    <n v="1833"/>
    <n v="1678"/>
    <n v="198"/>
    <m/>
    <m/>
    <m/>
    <m/>
    <m/>
    <m/>
    <m/>
    <m/>
    <m/>
    <m/>
    <m/>
    <m/>
    <m/>
    <m/>
    <m/>
    <m/>
  </r>
  <r>
    <x v="0"/>
    <n v="3"/>
    <s v="BCS"/>
    <x v="2"/>
    <s v="2022-2023"/>
    <x v="0"/>
    <n v="1676"/>
    <n v="715"/>
    <n v="961"/>
    <n v="12983"/>
    <n v="33"/>
    <n v="8"/>
    <n v="3"/>
    <n v="1427"/>
    <n v="40787"/>
    <n v="1058"/>
    <n v="1531"/>
    <n v="346"/>
    <n v="182"/>
    <n v="1335"/>
    <n v="602"/>
    <n v="313"/>
    <n v="368"/>
    <n v="361"/>
    <n v="1676"/>
    <n v="40780472.799643666"/>
    <n v="77"/>
    <n v="217"/>
    <n v="640"/>
    <n v="25"/>
    <n v="0"/>
    <n v="1"/>
    <n v="0"/>
    <n v="0"/>
    <m/>
    <m/>
    <m/>
    <m/>
    <m/>
    <m/>
    <m/>
    <m/>
    <m/>
    <m/>
    <m/>
    <m/>
    <m/>
    <m/>
    <m/>
    <m/>
    <m/>
  </r>
  <r>
    <x v="0"/>
    <n v="4"/>
    <s v="CAMP"/>
    <x v="3"/>
    <s v="2022-2023"/>
    <x v="0"/>
    <n v="2131"/>
    <n v="861"/>
    <n v="1270"/>
    <n v="13930"/>
    <n v="39"/>
    <n v="9"/>
    <n v="13"/>
    <n v="1774"/>
    <n v="51602"/>
    <n v="975"/>
    <n v="1937"/>
    <n v="418"/>
    <n v="257"/>
    <n v="1656"/>
    <n v="758"/>
    <n v="370"/>
    <n v="423"/>
    <n v="368"/>
    <n v="2131"/>
    <n v="50105240.945243418"/>
    <n v="119"/>
    <n v="331"/>
    <n v="1533"/>
    <n v="59"/>
    <n v="30"/>
    <n v="31"/>
    <n v="300"/>
    <n v="259"/>
    <m/>
    <m/>
    <m/>
    <m/>
    <m/>
    <m/>
    <m/>
    <m/>
    <m/>
    <m/>
    <m/>
    <m/>
    <m/>
    <m/>
    <m/>
    <m/>
    <m/>
  </r>
  <r>
    <x v="0"/>
    <n v="7"/>
    <s v="CHIAP"/>
    <x v="4"/>
    <s v="2022-2023"/>
    <x v="0"/>
    <n v="8653"/>
    <n v="3390"/>
    <n v="5263"/>
    <n v="94001"/>
    <n v="160"/>
    <n v="17"/>
    <n v="51"/>
    <n v="6118"/>
    <n v="340519"/>
    <n v="4174"/>
    <n v="8499"/>
    <n v="1714"/>
    <n v="1017"/>
    <n v="7471"/>
    <n v="2428"/>
    <n v="1553"/>
    <n v="1584"/>
    <n v="1273"/>
    <n v="8653"/>
    <n v="198707456.26515517"/>
    <n v="427"/>
    <n v="714"/>
    <n v="3479"/>
    <n v="4"/>
    <n v="56"/>
    <n v="72"/>
    <n v="961"/>
    <n v="758"/>
    <m/>
    <m/>
    <m/>
    <m/>
    <m/>
    <m/>
    <m/>
    <m/>
    <m/>
    <m/>
    <m/>
    <m/>
    <m/>
    <m/>
    <m/>
    <m/>
    <m/>
  </r>
  <r>
    <x v="0"/>
    <n v="8"/>
    <s v="CHIH"/>
    <x v="5"/>
    <s v="2022-2023"/>
    <x v="0"/>
    <n v="9756"/>
    <n v="4646"/>
    <n v="5110"/>
    <n v="63627"/>
    <n v="155"/>
    <n v="47"/>
    <n v="32"/>
    <n v="8737"/>
    <n v="202743"/>
    <n v="5090"/>
    <n v="8336"/>
    <n v="1809"/>
    <n v="1072"/>
    <n v="7068"/>
    <n v="3750"/>
    <n v="1632"/>
    <n v="1627"/>
    <n v="1510"/>
    <n v="9756"/>
    <n v="193206744.52680892"/>
    <n v="576"/>
    <n v="983"/>
    <n v="4037"/>
    <n v="613"/>
    <n v="93"/>
    <n v="94"/>
    <n v="39"/>
    <n v="39"/>
    <n v="349"/>
    <m/>
    <m/>
    <m/>
    <m/>
    <m/>
    <m/>
    <m/>
    <m/>
    <m/>
    <m/>
    <m/>
    <m/>
    <m/>
    <m/>
    <m/>
    <m/>
  </r>
  <r>
    <x v="1"/>
    <n v="9"/>
    <s v="CDMX"/>
    <x v="6"/>
    <s v="2022-2023"/>
    <x v="0"/>
    <n v="44777"/>
    <n v="17484"/>
    <n v="27293"/>
    <n v="141773"/>
    <n v="568"/>
    <n v="130"/>
    <n v="140"/>
    <n v="38896"/>
    <n v="362204"/>
    <n v="21598"/>
    <n v="46483"/>
    <n v="11725"/>
    <n v="10231"/>
    <n v="43891"/>
    <n v="18983"/>
    <n v="10249"/>
    <n v="8846"/>
    <n v="4677"/>
    <n v="44777"/>
    <n v="827522454.30157125"/>
    <n v="2196"/>
    <n v="3705"/>
    <n v="4682"/>
    <n v="409"/>
    <n v="210"/>
    <n v="263"/>
    <n v="2581"/>
    <n v="1996"/>
    <m/>
    <m/>
    <m/>
    <m/>
    <m/>
    <m/>
    <m/>
    <m/>
    <m/>
    <m/>
    <m/>
    <m/>
    <m/>
    <m/>
    <m/>
    <m/>
    <m/>
  </r>
  <r>
    <x v="0"/>
    <n v="5"/>
    <s v="COAH"/>
    <x v="7"/>
    <s v="2022-2023"/>
    <x v="0"/>
    <n v="10128"/>
    <n v="3960"/>
    <n v="6168"/>
    <n v="50818"/>
    <n v="134"/>
    <n v="46"/>
    <n v="35"/>
    <n v="9596"/>
    <n v="167242"/>
    <n v="4824"/>
    <n v="10123"/>
    <n v="2847"/>
    <n v="772"/>
    <n v="9417"/>
    <n v="3726"/>
    <n v="2726"/>
    <n v="2844"/>
    <n v="2842"/>
    <n v="10128"/>
    <n v="179270967.99443966"/>
    <n v="419"/>
    <n v="1141"/>
    <n v="2960"/>
    <n v="65"/>
    <n v="25"/>
    <n v="226"/>
    <n v="52"/>
    <n v="52"/>
    <m/>
    <m/>
    <m/>
    <m/>
    <m/>
    <m/>
    <m/>
    <m/>
    <m/>
    <m/>
    <m/>
    <m/>
    <m/>
    <m/>
    <m/>
    <m/>
    <m/>
  </r>
  <r>
    <x v="0"/>
    <n v="6"/>
    <s v="COL"/>
    <x v="8"/>
    <s v="2022-2023"/>
    <x v="0"/>
    <n v="1800"/>
    <n v="735"/>
    <n v="1065"/>
    <n v="10776"/>
    <n v="47"/>
    <n v="6"/>
    <n v="11"/>
    <n v="1153"/>
    <n v="40089"/>
    <n v="857"/>
    <n v="1760"/>
    <n v="422"/>
    <n v="206"/>
    <n v="1538"/>
    <n v="773"/>
    <n v="332"/>
    <n v="357"/>
    <n v="325"/>
    <n v="1800"/>
    <n v="50359152.541857749"/>
    <n v="110"/>
    <n v="320"/>
    <n v="968"/>
    <n v="114"/>
    <n v="1"/>
    <n v="2"/>
    <n v="114"/>
    <n v="114"/>
    <m/>
    <m/>
    <m/>
    <m/>
    <m/>
    <m/>
    <m/>
    <m/>
    <m/>
    <m/>
    <m/>
    <m/>
    <m/>
    <m/>
    <m/>
    <m/>
    <m/>
  </r>
  <r>
    <x v="0"/>
    <n v="10"/>
    <s v="DGO"/>
    <x v="9"/>
    <s v="2022-2023"/>
    <x v="0"/>
    <n v="1782"/>
    <n v="809"/>
    <n v="973"/>
    <n v="28856"/>
    <n v="51"/>
    <n v="19"/>
    <n v="10"/>
    <n v="1523"/>
    <n v="103401"/>
    <n v="884"/>
    <n v="1607"/>
    <n v="265"/>
    <n v="278"/>
    <n v="1278"/>
    <n v="716"/>
    <n v="243"/>
    <n v="267"/>
    <n v="136"/>
    <n v="1782"/>
    <n v="50728550.520300001"/>
    <n v="139"/>
    <n v="260"/>
    <n v="1912"/>
    <n v="55"/>
    <n v="16"/>
    <n v="16"/>
    <n v="166"/>
    <n v="48"/>
    <m/>
    <m/>
    <m/>
    <m/>
    <m/>
    <m/>
    <m/>
    <m/>
    <m/>
    <m/>
    <m/>
    <m/>
    <m/>
    <m/>
    <m/>
    <m/>
    <m/>
  </r>
  <r>
    <x v="0"/>
    <n v="11"/>
    <s v="GTO"/>
    <x v="10"/>
    <s v="2022-2023"/>
    <x v="0"/>
    <n v="17308"/>
    <n v="6843"/>
    <n v="10465"/>
    <n v="100883"/>
    <n v="309"/>
    <n v="90"/>
    <n v="82"/>
    <n v="15952"/>
    <n v="338825"/>
    <n v="8416"/>
    <n v="16462"/>
    <n v="4258"/>
    <n v="2758"/>
    <n v="15262"/>
    <n v="6879"/>
    <n v="4028"/>
    <n v="4068"/>
    <n v="3841"/>
    <n v="17308"/>
    <n v="284031616.38553494"/>
    <n v="764"/>
    <n v="2187"/>
    <n v="2223"/>
    <n v="354"/>
    <n v="811"/>
    <n v="982"/>
    <n v="345"/>
    <n v="278"/>
    <n v="8068"/>
    <m/>
    <m/>
    <m/>
    <m/>
    <m/>
    <m/>
    <m/>
    <m/>
    <m/>
    <m/>
    <m/>
    <m/>
    <m/>
    <m/>
    <m/>
    <m/>
  </r>
  <r>
    <x v="0"/>
    <n v="12"/>
    <s v="GRO"/>
    <x v="11"/>
    <s v="2022-2023"/>
    <x v="0"/>
    <n v="5993"/>
    <n v="2470"/>
    <n v="3523"/>
    <n v="59820"/>
    <n v="134"/>
    <n v="26"/>
    <n v="41"/>
    <n v="5209"/>
    <n v="208511"/>
    <n v="2884"/>
    <n v="5818"/>
    <n v="1166"/>
    <n v="939"/>
    <n v="4825"/>
    <n v="2417"/>
    <n v="1079"/>
    <n v="1270"/>
    <n v="1058"/>
    <n v="5993"/>
    <n v="167214807.72838384"/>
    <n v="292"/>
    <n v="719"/>
    <n v="15428"/>
    <n v="639"/>
    <n v="5"/>
    <n v="24"/>
    <n v="168"/>
    <n v="168"/>
    <m/>
    <m/>
    <m/>
    <m/>
    <m/>
    <m/>
    <m/>
    <m/>
    <m/>
    <m/>
    <m/>
    <m/>
    <m/>
    <m/>
    <m/>
    <m/>
    <m/>
  </r>
  <r>
    <x v="0"/>
    <n v="13"/>
    <s v="HGO"/>
    <x v="12"/>
    <s v="2022-2023"/>
    <x v="0"/>
    <n v="3885"/>
    <n v="1582"/>
    <n v="2303"/>
    <n v="55325"/>
    <n v="72"/>
    <n v="37"/>
    <n v="17"/>
    <n v="3504"/>
    <n v="166161"/>
    <n v="2100"/>
    <n v="3684"/>
    <n v="938"/>
    <n v="557"/>
    <n v="3439"/>
    <n v="1520"/>
    <n v="881"/>
    <n v="868"/>
    <n v="868"/>
    <n v="3885"/>
    <n v="78836376.058385909"/>
    <n v="192"/>
    <n v="428"/>
    <n v="1841"/>
    <n v="292"/>
    <n v="31"/>
    <n v="33"/>
    <n v="298"/>
    <n v="195"/>
    <m/>
    <m/>
    <m/>
    <m/>
    <m/>
    <m/>
    <m/>
    <m/>
    <m/>
    <m/>
    <m/>
    <m/>
    <m/>
    <m/>
    <m/>
    <m/>
    <m/>
  </r>
  <r>
    <x v="0"/>
    <n v="14"/>
    <s v="JAL"/>
    <x v="13"/>
    <s v="2022-2023"/>
    <x v="0"/>
    <n v="13082"/>
    <n v="5272"/>
    <n v="7810"/>
    <n v="135174"/>
    <n v="273"/>
    <n v="39"/>
    <n v="64"/>
    <n v="11215"/>
    <n v="445616"/>
    <n v="5456"/>
    <n v="13107"/>
    <n v="3101"/>
    <n v="2409"/>
    <n v="11897"/>
    <n v="5317"/>
    <n v="2779"/>
    <n v="2750"/>
    <n v="2301"/>
    <n v="13082"/>
    <n v="305794686.56970632"/>
    <n v="740"/>
    <n v="2084"/>
    <n v="4283"/>
    <n v="466"/>
    <n v="903"/>
    <n v="1037"/>
    <n v="827"/>
    <n v="337"/>
    <n v="620"/>
    <m/>
    <m/>
    <m/>
    <m/>
    <m/>
    <m/>
    <m/>
    <m/>
    <m/>
    <m/>
    <m/>
    <m/>
    <m/>
    <m/>
    <m/>
    <m/>
  </r>
  <r>
    <x v="0"/>
    <n v="15"/>
    <s v="MEX"/>
    <x v="14"/>
    <s v="2022-2023"/>
    <x v="0"/>
    <n v="50543"/>
    <n v="19574"/>
    <n v="30969"/>
    <n v="285765"/>
    <n v="790"/>
    <n v="188"/>
    <n v="211"/>
    <n v="45965"/>
    <n v="884035"/>
    <n v="19607"/>
    <n v="48029"/>
    <n v="12467"/>
    <n v="4038"/>
    <n v="45825"/>
    <n v="18923"/>
    <n v="11113"/>
    <n v="10186"/>
    <n v="6474"/>
    <n v="50543"/>
    <n v="899576487.46477783"/>
    <n v="2089"/>
    <n v="4445"/>
    <n v="6829"/>
    <n v="964"/>
    <n v="952"/>
    <n v="1164"/>
    <n v="46072"/>
    <n v="38684"/>
    <n v="1142"/>
    <m/>
    <m/>
    <m/>
    <m/>
    <m/>
    <m/>
    <m/>
    <m/>
    <m/>
    <m/>
    <m/>
    <m/>
    <m/>
    <m/>
    <m/>
    <m/>
  </r>
  <r>
    <x v="0"/>
    <n v="16"/>
    <s v="MICH"/>
    <x v="15"/>
    <s v="2022-2023"/>
    <x v="0"/>
    <n v="11459"/>
    <n v="4882"/>
    <n v="6577"/>
    <n v="66089"/>
    <n v="245"/>
    <n v="53"/>
    <n v="67"/>
    <n v="10116"/>
    <n v="260706"/>
    <n v="5868"/>
    <n v="10545"/>
    <n v="2732"/>
    <n v="857"/>
    <n v="9759"/>
    <n v="4436"/>
    <n v="2432"/>
    <n v="2325"/>
    <n v="2054"/>
    <n v="11459"/>
    <n v="232419055.05010808"/>
    <n v="444"/>
    <n v="1204"/>
    <n v="882"/>
    <n v="657"/>
    <n v="146"/>
    <n v="164"/>
    <n v="10274"/>
    <n v="7992"/>
    <m/>
    <m/>
    <m/>
    <m/>
    <m/>
    <m/>
    <m/>
    <m/>
    <m/>
    <m/>
    <m/>
    <m/>
    <m/>
    <m/>
    <m/>
    <m/>
    <m/>
  </r>
  <r>
    <x v="0"/>
    <n v="17"/>
    <s v="MOR"/>
    <x v="16"/>
    <s v="2022-2023"/>
    <x v="0"/>
    <n v="4790"/>
    <n v="2057"/>
    <n v="2733"/>
    <n v="30324"/>
    <n v="74"/>
    <n v="17"/>
    <n v="13"/>
    <n v="4276"/>
    <n v="102489"/>
    <n v="2437"/>
    <n v="4277"/>
    <n v="899"/>
    <n v="464"/>
    <n v="3594"/>
    <n v="1884"/>
    <n v="805"/>
    <n v="854"/>
    <n v="735"/>
    <n v="4790"/>
    <n v="87359886.976342246"/>
    <n v="238"/>
    <n v="532"/>
    <n v="7416"/>
    <n v="45"/>
    <n v="87"/>
    <n v="89"/>
    <n v="725"/>
    <n v="725"/>
    <m/>
    <m/>
    <m/>
    <m/>
    <m/>
    <m/>
    <m/>
    <m/>
    <m/>
    <m/>
    <m/>
    <m/>
    <m/>
    <m/>
    <m/>
    <m/>
    <m/>
  </r>
  <r>
    <x v="0"/>
    <n v="18"/>
    <s v="NAY"/>
    <x v="17"/>
    <s v="2022-2023"/>
    <x v="0"/>
    <n v="3487"/>
    <n v="1582"/>
    <n v="1905"/>
    <n v="20292"/>
    <n v="59"/>
    <n v="10"/>
    <n v="14"/>
    <n v="3268"/>
    <n v="69289"/>
    <n v="1814"/>
    <n v="2949"/>
    <n v="588"/>
    <n v="807"/>
    <n v="2716"/>
    <n v="1353"/>
    <n v="548"/>
    <n v="433"/>
    <n v="290"/>
    <n v="3487"/>
    <n v="59794704.334559582"/>
    <n v="115"/>
    <n v="361"/>
    <n v="712"/>
    <n v="39"/>
    <n v="16"/>
    <n v="19"/>
    <n v="0"/>
    <n v="0"/>
    <m/>
    <m/>
    <m/>
    <m/>
    <m/>
    <m/>
    <m/>
    <m/>
    <m/>
    <m/>
    <m/>
    <m/>
    <m/>
    <m/>
    <m/>
    <m/>
    <m/>
  </r>
  <r>
    <x v="0"/>
    <n v="19"/>
    <s v="NL"/>
    <x v="18"/>
    <s v="2022-2023"/>
    <x v="0"/>
    <n v="21662"/>
    <n v="9457"/>
    <n v="12205"/>
    <n v="92636"/>
    <n v="297"/>
    <n v="78"/>
    <n v="81"/>
    <n v="19203"/>
    <n v="283767"/>
    <n v="12314"/>
    <n v="23335"/>
    <n v="5230"/>
    <n v="5134"/>
    <n v="19491"/>
    <n v="8832"/>
    <n v="5019"/>
    <n v="5701"/>
    <n v="5492"/>
    <n v="21662"/>
    <n v="267627108.49093634"/>
    <n v="957"/>
    <n v="1549"/>
    <n v="41660"/>
    <n v="2075"/>
    <n v="1453"/>
    <n v="1774"/>
    <n v="22919"/>
    <n v="15471"/>
    <n v="442"/>
    <m/>
    <m/>
    <m/>
    <m/>
    <m/>
    <m/>
    <m/>
    <m/>
    <m/>
    <m/>
    <m/>
    <m/>
    <m/>
    <m/>
    <m/>
    <m/>
  </r>
  <r>
    <x v="1"/>
    <n v="20"/>
    <s v="OAX"/>
    <x v="19"/>
    <s v="2022-2023"/>
    <x v="0"/>
    <n v="6550"/>
    <n v="2866"/>
    <n v="3684"/>
    <n v="65985"/>
    <n v="121"/>
    <n v="24"/>
    <n v="31"/>
    <n v="5627"/>
    <n v="229368"/>
    <n v="3319"/>
    <n v="5832"/>
    <n v="1182"/>
    <n v="1079"/>
    <n v="5018"/>
    <n v="2674"/>
    <n v="1058"/>
    <n v="1004"/>
    <n v="416"/>
    <n v="6550"/>
    <n v="234557658.79106081"/>
    <n v="410"/>
    <n v="637"/>
    <n v="275"/>
    <n v="6"/>
    <n v="0"/>
    <n v="0"/>
    <n v="342"/>
    <n v="61"/>
    <m/>
    <m/>
    <m/>
    <m/>
    <m/>
    <m/>
    <m/>
    <m/>
    <m/>
    <m/>
    <m/>
    <m/>
    <m/>
    <m/>
    <m/>
    <m/>
    <m/>
  </r>
  <r>
    <x v="0"/>
    <n v="21"/>
    <s v="PUE"/>
    <x v="20"/>
    <s v="2022-2023"/>
    <x v="0"/>
    <n v="7645"/>
    <n v="2979"/>
    <n v="4666"/>
    <n v="109366"/>
    <n v="153"/>
    <n v="41"/>
    <n v="39"/>
    <n v="7006"/>
    <n v="367195"/>
    <n v="3639"/>
    <n v="7616"/>
    <n v="1968"/>
    <n v="936"/>
    <n v="7000"/>
    <n v="2713"/>
    <n v="1844"/>
    <n v="1850"/>
    <n v="1703"/>
    <n v="7645"/>
    <n v="191758341.15988243"/>
    <n v="395"/>
    <n v="1005"/>
    <n v="3020"/>
    <n v="97"/>
    <n v="105"/>
    <n v="105"/>
    <n v="3194"/>
    <n v="2498"/>
    <m/>
    <m/>
    <m/>
    <m/>
    <m/>
    <m/>
    <m/>
    <m/>
    <m/>
    <m/>
    <m/>
    <m/>
    <m/>
    <m/>
    <m/>
    <m/>
    <m/>
  </r>
  <r>
    <x v="0"/>
    <n v="22"/>
    <s v="QRO"/>
    <x v="21"/>
    <s v="2022-2023"/>
    <x v="0"/>
    <n v="3851"/>
    <n v="1730"/>
    <n v="2121"/>
    <n v="39965"/>
    <n v="73"/>
    <n v="27"/>
    <n v="27"/>
    <n v="3521"/>
    <n v="120941"/>
    <n v="1886"/>
    <n v="3548"/>
    <n v="778"/>
    <n v="718"/>
    <n v="3136"/>
    <n v="1403"/>
    <n v="719"/>
    <n v="709"/>
    <n v="700"/>
    <n v="3851"/>
    <n v="64677032.960299999"/>
    <n v="240"/>
    <n v="449"/>
    <n v="515"/>
    <n v="42"/>
    <n v="114"/>
    <n v="133"/>
    <n v="12"/>
    <n v="12"/>
    <m/>
    <m/>
    <m/>
    <m/>
    <m/>
    <m/>
    <m/>
    <m/>
    <m/>
    <m/>
    <m/>
    <m/>
    <m/>
    <m/>
    <m/>
    <m/>
    <m/>
  </r>
  <r>
    <x v="0"/>
    <n v="23"/>
    <s v="QROO"/>
    <x v="22"/>
    <s v="2022-2023"/>
    <x v="0"/>
    <n v="9930"/>
    <n v="3702"/>
    <n v="6228"/>
    <n v="29608"/>
    <n v="119"/>
    <n v="18"/>
    <n v="30"/>
    <n v="8995"/>
    <n v="90341"/>
    <n v="4102"/>
    <n v="9384"/>
    <n v="2370"/>
    <n v="637"/>
    <n v="8866"/>
    <n v="3089"/>
    <n v="2184"/>
    <n v="2052"/>
    <n v="1813"/>
    <n v="9930"/>
    <n v="119822061.78945583"/>
    <n v="427"/>
    <n v="771"/>
    <n v="10968"/>
    <n v="140"/>
    <n v="23"/>
    <n v="78"/>
    <n v="518"/>
    <n v="225"/>
    <m/>
    <m/>
    <m/>
    <m/>
    <m/>
    <m/>
    <m/>
    <m/>
    <m/>
    <m/>
    <m/>
    <m/>
    <m/>
    <m/>
    <m/>
    <m/>
    <m/>
  </r>
  <r>
    <x v="0"/>
    <n v="24"/>
    <s v="SLP"/>
    <x v="23"/>
    <s v="2022-2023"/>
    <x v="0"/>
    <n v="5213"/>
    <n v="2177"/>
    <n v="3036"/>
    <n v="45521"/>
    <n v="98"/>
    <n v="26"/>
    <n v="25"/>
    <n v="4614"/>
    <n v="154479"/>
    <n v="2630"/>
    <n v="4786"/>
    <n v="1216"/>
    <n v="1029"/>
    <n v="4407"/>
    <n v="1919"/>
    <n v="1135"/>
    <n v="1099"/>
    <n v="1033"/>
    <n v="5213"/>
    <n v="105227303.42341058"/>
    <n v="248"/>
    <n v="427"/>
    <n v="1526"/>
    <n v="460"/>
    <n v="268"/>
    <n v="311"/>
    <n v="93"/>
    <n v="93"/>
    <m/>
    <m/>
    <m/>
    <m/>
    <m/>
    <m/>
    <m/>
    <m/>
    <m/>
    <m/>
    <m/>
    <m/>
    <m/>
    <m/>
    <m/>
    <m/>
    <m/>
  </r>
  <r>
    <x v="0"/>
    <n v="25"/>
    <s v="SIN"/>
    <x v="24"/>
    <s v="2022-2023"/>
    <x v="0"/>
    <n v="8555"/>
    <n v="3551"/>
    <n v="5004"/>
    <n v="48530"/>
    <n v="236"/>
    <n v="72"/>
    <n v="40"/>
    <n v="7830"/>
    <n v="164630"/>
    <n v="3878"/>
    <n v="7922"/>
    <n v="2212"/>
    <n v="1222"/>
    <n v="7654"/>
    <n v="3156"/>
    <n v="2022"/>
    <n v="1961"/>
    <n v="1954"/>
    <n v="8555"/>
    <n v="274651990.0409115"/>
    <n v="487"/>
    <n v="1117"/>
    <n v="2417"/>
    <n v="129"/>
    <n v="35"/>
    <n v="76"/>
    <n v="0"/>
    <n v="0"/>
    <m/>
    <m/>
    <m/>
    <m/>
    <m/>
    <m/>
    <m/>
    <m/>
    <m/>
    <m/>
    <m/>
    <m/>
    <m/>
    <m/>
    <m/>
    <m/>
    <m/>
  </r>
  <r>
    <x v="0"/>
    <n v="26"/>
    <s v="SON"/>
    <x v="25"/>
    <s v="2022-2023"/>
    <x v="0"/>
    <n v="16098"/>
    <n v="6615"/>
    <n v="9483"/>
    <n v="50417"/>
    <n v="266"/>
    <n v="49"/>
    <n v="45"/>
    <n v="14681"/>
    <n v="160534"/>
    <n v="6681"/>
    <n v="15407"/>
    <n v="3517"/>
    <n v="3604"/>
    <n v="14203"/>
    <n v="6159"/>
    <n v="3190"/>
    <n v="2909"/>
    <n v="2146"/>
    <n v="16098"/>
    <n v="267112922.48971292"/>
    <n v="587"/>
    <n v="857"/>
    <n v="682"/>
    <n v="999"/>
    <n v="58"/>
    <n v="65"/>
    <n v="37"/>
    <n v="37"/>
    <m/>
    <m/>
    <m/>
    <m/>
    <m/>
    <m/>
    <m/>
    <m/>
    <m/>
    <m/>
    <m/>
    <m/>
    <m/>
    <m/>
    <m/>
    <m/>
    <m/>
  </r>
  <r>
    <x v="0"/>
    <n v="27"/>
    <s v="TAB"/>
    <x v="26"/>
    <s v="2022-2023"/>
    <x v="0"/>
    <n v="5842"/>
    <n v="2333"/>
    <n v="3509"/>
    <n v="44150"/>
    <n v="90"/>
    <n v="27"/>
    <n v="21"/>
    <n v="5392"/>
    <n v="135391"/>
    <n v="2335"/>
    <n v="5431"/>
    <n v="1547"/>
    <n v="357"/>
    <n v="5224"/>
    <n v="2129"/>
    <n v="1462"/>
    <n v="1356"/>
    <n v="1326"/>
    <n v="5842"/>
    <n v="135885647.80048683"/>
    <n v="306"/>
    <n v="484"/>
    <n v="118"/>
    <n v="38"/>
    <n v="50"/>
    <n v="54"/>
    <n v="81"/>
    <n v="81"/>
    <m/>
    <m/>
    <m/>
    <m/>
    <m/>
    <m/>
    <m/>
    <m/>
    <m/>
    <m/>
    <m/>
    <m/>
    <m/>
    <m/>
    <m/>
    <m/>
    <m/>
  </r>
  <r>
    <x v="0"/>
    <n v="28"/>
    <s v="TAMPS"/>
    <x v="27"/>
    <s v="2022-2023"/>
    <x v="0"/>
    <n v="7970"/>
    <n v="3483"/>
    <n v="4487"/>
    <n v="57270"/>
    <n v="164"/>
    <n v="30"/>
    <n v="42"/>
    <n v="7387"/>
    <n v="188540"/>
    <n v="3796"/>
    <n v="6916"/>
    <n v="1922"/>
    <n v="863"/>
    <n v="6748"/>
    <n v="3065"/>
    <n v="1801"/>
    <n v="1780"/>
    <n v="1747"/>
    <n v="7970"/>
    <n v="208190697.59789068"/>
    <n v="357"/>
    <n v="1077"/>
    <n v="3269"/>
    <n v="179"/>
    <n v="65"/>
    <n v="65"/>
    <n v="0"/>
    <n v="0"/>
    <n v="45"/>
    <m/>
    <m/>
    <m/>
    <m/>
    <m/>
    <m/>
    <m/>
    <m/>
    <m/>
    <m/>
    <m/>
    <m/>
    <m/>
    <m/>
    <m/>
    <m/>
  </r>
  <r>
    <x v="0"/>
    <n v="29"/>
    <s v="TLAX"/>
    <x v="28"/>
    <s v="2022-2023"/>
    <x v="0"/>
    <n v="3315"/>
    <n v="1257"/>
    <n v="2058"/>
    <n v="23951"/>
    <n v="49"/>
    <n v="18"/>
    <n v="15"/>
    <n v="3100"/>
    <n v="74712"/>
    <n v="1391"/>
    <n v="3146"/>
    <n v="855"/>
    <n v="369"/>
    <n v="3069"/>
    <n v="1171"/>
    <n v="791"/>
    <n v="765"/>
    <n v="742"/>
    <n v="3315"/>
    <n v="52799734.760300003"/>
    <n v="175"/>
    <n v="455"/>
    <n v="346"/>
    <n v="18"/>
    <n v="6"/>
    <n v="6"/>
    <n v="0"/>
    <n v="0"/>
    <m/>
    <m/>
    <m/>
    <m/>
    <m/>
    <m/>
    <m/>
    <m/>
    <m/>
    <m/>
    <m/>
    <m/>
    <m/>
    <m/>
    <m/>
    <m/>
    <m/>
  </r>
  <r>
    <x v="0"/>
    <n v="30"/>
    <s v="VER"/>
    <x v="29"/>
    <s v="2022-2023"/>
    <x v="0"/>
    <n v="12512"/>
    <n v="4855"/>
    <n v="7657"/>
    <n v="119336"/>
    <n v="183"/>
    <n v="44"/>
    <n v="75"/>
    <n v="11686"/>
    <n v="430653"/>
    <n v="6193"/>
    <n v="11461"/>
    <n v="2953"/>
    <n v="1209"/>
    <n v="11031"/>
    <n v="3739"/>
    <n v="2847"/>
    <n v="2432"/>
    <n v="2178"/>
    <n v="12512"/>
    <n v="281758962.55795401"/>
    <n v="592"/>
    <n v="1543"/>
    <n v="6557"/>
    <n v="70"/>
    <n v="42"/>
    <n v="324"/>
    <n v="1429"/>
    <n v="708"/>
    <n v="418"/>
    <m/>
    <m/>
    <m/>
    <m/>
    <m/>
    <m/>
    <m/>
    <m/>
    <m/>
    <m/>
    <m/>
    <m/>
    <m/>
    <m/>
    <m/>
    <m/>
  </r>
  <r>
    <x v="0"/>
    <n v="31"/>
    <s v="YUC"/>
    <x v="30"/>
    <s v="2022-2023"/>
    <x v="0"/>
    <n v="5523"/>
    <n v="2205"/>
    <n v="3318"/>
    <n v="35950"/>
    <n v="69"/>
    <n v="14"/>
    <n v="18"/>
    <n v="4453"/>
    <n v="113782"/>
    <n v="2396"/>
    <n v="5289"/>
    <n v="1217"/>
    <n v="1027"/>
    <n v="4771"/>
    <n v="1994"/>
    <n v="1053"/>
    <n v="929"/>
    <n v="734"/>
    <n v="5523"/>
    <n v="121144963.89596583"/>
    <n v="259"/>
    <n v="484"/>
    <n v="4955"/>
    <n v="224"/>
    <n v="171"/>
    <n v="173"/>
    <n v="623"/>
    <n v="516"/>
    <m/>
    <m/>
    <m/>
    <m/>
    <m/>
    <m/>
    <m/>
    <m/>
    <m/>
    <m/>
    <m/>
    <m/>
    <m/>
    <m/>
    <m/>
    <m/>
    <m/>
  </r>
  <r>
    <x v="0"/>
    <n v="32"/>
    <s v="ZAC"/>
    <x v="31"/>
    <s v="2022-2023"/>
    <x v="0"/>
    <n v="1477"/>
    <n v="661"/>
    <n v="816"/>
    <n v="27483"/>
    <n v="60"/>
    <n v="21"/>
    <n v="7"/>
    <n v="1193"/>
    <n v="91330"/>
    <n v="777"/>
    <n v="1419"/>
    <n v="223"/>
    <n v="525"/>
    <n v="1238"/>
    <n v="610"/>
    <n v="181"/>
    <n v="223"/>
    <n v="181"/>
    <n v="1477"/>
    <n v="46764753.776171833"/>
    <n v="81"/>
    <n v="197"/>
    <n v="365"/>
    <n v="185"/>
    <n v="24"/>
    <n v="26"/>
    <n v="3"/>
    <n v="3"/>
    <m/>
    <m/>
    <m/>
    <m/>
    <m/>
    <m/>
    <m/>
    <m/>
    <m/>
    <m/>
    <m/>
    <m/>
    <m/>
    <m/>
    <m/>
    <m/>
    <m/>
  </r>
  <r>
    <x v="2"/>
    <n v="33"/>
    <s v="OTRO"/>
    <x v="32"/>
    <s v="2022-2023"/>
    <x v="0"/>
    <m/>
    <m/>
    <m/>
    <m/>
    <m/>
    <m/>
    <m/>
    <m/>
    <m/>
    <m/>
    <m/>
    <m/>
    <m/>
    <m/>
    <m/>
    <m/>
    <m/>
    <m/>
    <m/>
    <m/>
    <m/>
    <m/>
    <m/>
    <m/>
    <m/>
    <m/>
    <n v="1204"/>
    <n v="1201"/>
    <m/>
    <m/>
    <m/>
    <m/>
    <m/>
    <m/>
    <m/>
    <m/>
    <m/>
    <m/>
    <m/>
    <m/>
    <m/>
    <m/>
    <m/>
    <m/>
    <m/>
  </r>
  <r>
    <x v="1"/>
    <n v="0"/>
    <s v="ON"/>
    <x v="33"/>
    <s v="2022-2023"/>
    <x v="0"/>
    <m/>
    <m/>
    <m/>
    <m/>
    <m/>
    <m/>
    <m/>
    <m/>
    <m/>
    <m/>
    <m/>
    <m/>
    <m/>
    <m/>
    <m/>
    <m/>
    <m/>
    <m/>
    <m/>
    <m/>
    <m/>
    <m/>
    <n v="4839"/>
    <m/>
    <m/>
    <m/>
    <n v="2286"/>
    <n v="2238"/>
    <m/>
    <n v="504351.18284999998"/>
    <n v="1716208.933"/>
    <n v="1716208.933"/>
    <n v="1725174.2520000001"/>
    <n v="1680174.2520000001"/>
    <n v="1680174.2520000001"/>
    <n v="1716208.933"/>
    <n v="1725174.2520000001"/>
    <n v="0"/>
    <n v="0"/>
    <n v="36034.680999999997"/>
    <n v="1716208.933"/>
    <n v="39503.966999999997"/>
    <n v="45000"/>
    <m/>
    <m/>
  </r>
  <r>
    <x v="0"/>
    <n v="1"/>
    <s v="AGS"/>
    <x v="0"/>
    <s v="2021-2022"/>
    <x v="1"/>
    <n v="4237"/>
    <n v="1578"/>
    <n v="2659"/>
    <n v="23123"/>
    <n v="83"/>
    <n v="19"/>
    <n v="22"/>
    <n v="3913"/>
    <n v="80810"/>
    <n v="2543"/>
    <n v="4531"/>
    <n v="1120"/>
    <n v="755"/>
    <n v="3937"/>
    <n v="1689"/>
    <n v="1037"/>
    <n v="1067"/>
    <n v="993"/>
    <n v="4237"/>
    <n v="82825222"/>
    <n v="272"/>
    <n v="429"/>
    <n v="1136"/>
    <n v="71"/>
    <n v="39"/>
    <n v="59"/>
    <n v="2428"/>
    <n v="2240"/>
    <m/>
    <m/>
    <m/>
    <m/>
    <m/>
    <m/>
    <m/>
    <m/>
    <m/>
    <m/>
    <m/>
    <m/>
    <m/>
    <m/>
    <m/>
    <m/>
    <m/>
  </r>
  <r>
    <x v="0"/>
    <n v="2"/>
    <s v="BC"/>
    <x v="1"/>
    <s v="2021-2022"/>
    <x v="1"/>
    <n v="8841"/>
    <n v="3331"/>
    <n v="5510"/>
    <n v="59470"/>
    <n v="125"/>
    <n v="32"/>
    <n v="24"/>
    <n v="7562"/>
    <n v="187199"/>
    <n v="3517"/>
    <n v="8621"/>
    <n v="1687"/>
    <n v="1125"/>
    <n v="7861"/>
    <n v="3296"/>
    <n v="1597"/>
    <n v="1630"/>
    <n v="1493"/>
    <n v="8841"/>
    <n v="151148152.66"/>
    <n v="384"/>
    <n v="749"/>
    <n v="6040"/>
    <n v="199"/>
    <n v="241"/>
    <n v="242"/>
    <n v="1137"/>
    <n v="1131"/>
    <n v="194"/>
    <m/>
    <m/>
    <m/>
    <m/>
    <m/>
    <m/>
    <m/>
    <m/>
    <m/>
    <m/>
    <m/>
    <m/>
    <m/>
    <m/>
    <m/>
    <m/>
  </r>
  <r>
    <x v="0"/>
    <n v="3"/>
    <s v="BCS"/>
    <x v="2"/>
    <s v="2021-2022"/>
    <x v="1"/>
    <n v="1531"/>
    <n v="709"/>
    <n v="822"/>
    <n v="12883"/>
    <n v="18"/>
    <n v="5"/>
    <n v="1"/>
    <n v="1314"/>
    <n v="40506"/>
    <n v="985"/>
    <n v="1505"/>
    <n v="378"/>
    <n v="308"/>
    <n v="1289"/>
    <n v="679"/>
    <n v="368"/>
    <n v="326"/>
    <n v="325"/>
    <n v="1531"/>
    <n v="37802262.619999997"/>
    <n v="80"/>
    <n v="217"/>
    <n v="418"/>
    <m/>
    <m/>
    <n v="1"/>
    <n v="0"/>
    <n v="0"/>
    <m/>
    <m/>
    <m/>
    <m/>
    <m/>
    <m/>
    <m/>
    <m/>
    <m/>
    <m/>
    <m/>
    <m/>
    <m/>
    <m/>
    <m/>
    <m/>
    <m/>
  </r>
  <r>
    <x v="0"/>
    <n v="4"/>
    <s v="CAMP"/>
    <x v="3"/>
    <s v="2021-2022"/>
    <x v="1"/>
    <n v="1937"/>
    <n v="795"/>
    <n v="1142"/>
    <n v="14576"/>
    <n v="39"/>
    <n v="9"/>
    <n v="13"/>
    <n v="1566"/>
    <n v="51300"/>
    <n v="882"/>
    <n v="1959"/>
    <n v="448"/>
    <n v="385"/>
    <n v="1668"/>
    <n v="798"/>
    <n v="423"/>
    <n v="395"/>
    <n v="316"/>
    <n v="1937"/>
    <n v="46249327.069999993"/>
    <n v="121"/>
    <n v="331"/>
    <n v="2251"/>
    <m/>
    <n v="12"/>
    <n v="12"/>
    <n v="794"/>
    <n v="765"/>
    <m/>
    <m/>
    <m/>
    <m/>
    <m/>
    <m/>
    <m/>
    <m/>
    <m/>
    <m/>
    <m/>
    <m/>
    <m/>
    <m/>
    <m/>
    <m/>
    <m/>
  </r>
  <r>
    <x v="0"/>
    <n v="7"/>
    <s v="CHIAP"/>
    <x v="4"/>
    <s v="2021-2022"/>
    <x v="1"/>
    <n v="8499"/>
    <n v="3840"/>
    <n v="4659"/>
    <n v="92843"/>
    <n v="160"/>
    <n v="17"/>
    <n v="51"/>
    <n v="5951"/>
    <n v="337886"/>
    <n v="4649"/>
    <n v="7105"/>
    <n v="1645"/>
    <n v="1078"/>
    <n v="6796"/>
    <n v="2491"/>
    <n v="1584"/>
    <n v="1773"/>
    <n v="1365"/>
    <n v="8499"/>
    <n v="221110958"/>
    <n v="430"/>
    <n v="714"/>
    <n v="3583"/>
    <n v="63"/>
    <n v="75"/>
    <n v="104"/>
    <n v="543"/>
    <n v="541"/>
    <m/>
    <m/>
    <m/>
    <m/>
    <m/>
    <m/>
    <m/>
    <m/>
    <m/>
    <m/>
    <m/>
    <m/>
    <m/>
    <m/>
    <m/>
    <m/>
    <m/>
  </r>
  <r>
    <x v="0"/>
    <n v="8"/>
    <s v="CHIH"/>
    <x v="5"/>
    <s v="2021-2022"/>
    <x v="1"/>
    <n v="8336"/>
    <n v="3423"/>
    <n v="4913"/>
    <n v="58401"/>
    <n v="154"/>
    <n v="47"/>
    <n v="32"/>
    <n v="7575"/>
    <n v="203269"/>
    <n v="4110"/>
    <n v="8628"/>
    <n v="1729"/>
    <n v="1720"/>
    <n v="7038"/>
    <n v="3347"/>
    <n v="1627"/>
    <n v="1941"/>
    <n v="1770"/>
    <n v="8336"/>
    <n v="203227754"/>
    <n v="562"/>
    <n v="983"/>
    <n v="2181"/>
    <n v="176"/>
    <n v="208"/>
    <n v="226"/>
    <n v="174"/>
    <n v="166"/>
    <n v="374"/>
    <m/>
    <m/>
    <m/>
    <m/>
    <m/>
    <m/>
    <m/>
    <m/>
    <m/>
    <m/>
    <m/>
    <m/>
    <m/>
    <m/>
    <m/>
    <m/>
  </r>
  <r>
    <x v="1"/>
    <n v="9"/>
    <s v="CDMX"/>
    <x v="6"/>
    <s v="2021-2022"/>
    <x v="1"/>
    <n v="46483"/>
    <n v="16933"/>
    <n v="29550"/>
    <n v="141390"/>
    <n v="575"/>
    <n v="131"/>
    <n v="139"/>
    <n v="39101"/>
    <n v="369537"/>
    <n v="20273"/>
    <n v="45497"/>
    <n v="9666"/>
    <n v="5077"/>
    <n v="42419"/>
    <n v="18512"/>
    <n v="8846"/>
    <n v="8086"/>
    <n v="4165"/>
    <n v="46483"/>
    <n v="743102655.43532991"/>
    <n v="2265"/>
    <n v="3705"/>
    <n v="3707"/>
    <n v="76"/>
    <n v="245"/>
    <n v="281"/>
    <n v="301"/>
    <n v="206"/>
    <m/>
    <m/>
    <m/>
    <m/>
    <m/>
    <m/>
    <m/>
    <m/>
    <m/>
    <m/>
    <m/>
    <m/>
    <m/>
    <m/>
    <m/>
    <m/>
    <m/>
  </r>
  <r>
    <x v="0"/>
    <n v="5"/>
    <s v="COAH"/>
    <x v="7"/>
    <s v="2021-2022"/>
    <x v="1"/>
    <n v="10123"/>
    <n v="3684"/>
    <n v="6439"/>
    <n v="49463"/>
    <n v="135"/>
    <n v="43"/>
    <n v="36"/>
    <n v="9543"/>
    <n v="167219"/>
    <n v="4253"/>
    <n v="10367"/>
    <n v="2917"/>
    <n v="1029"/>
    <n v="9857"/>
    <n v="3963"/>
    <n v="2844"/>
    <n v="3172"/>
    <n v="3170"/>
    <n v="10123"/>
    <n v="164530280.71000001"/>
    <n v="423"/>
    <n v="1141"/>
    <n v="700"/>
    <n v="42"/>
    <n v="75"/>
    <n v="86"/>
    <n v="37"/>
    <n v="24"/>
    <m/>
    <m/>
    <m/>
    <m/>
    <m/>
    <m/>
    <m/>
    <m/>
    <m/>
    <m/>
    <m/>
    <m/>
    <m/>
    <m/>
    <m/>
    <m/>
    <m/>
  </r>
  <r>
    <x v="0"/>
    <n v="6"/>
    <s v="COL"/>
    <x v="8"/>
    <s v="2021-2022"/>
    <x v="1"/>
    <n v="1760"/>
    <n v="681"/>
    <n v="1079"/>
    <n v="10985"/>
    <n v="47"/>
    <n v="6"/>
    <n v="11"/>
    <n v="1119"/>
    <n v="39871"/>
    <n v="759"/>
    <n v="1849"/>
    <n v="393"/>
    <n v="316"/>
    <n v="1488"/>
    <n v="763"/>
    <n v="357"/>
    <n v="349"/>
    <n v="313"/>
    <n v="1760"/>
    <n v="46380274.670000002"/>
    <n v="110"/>
    <n v="320"/>
    <n v="363"/>
    <n v="7"/>
    <n v="2"/>
    <n v="21"/>
    <n v="15"/>
    <n v="15"/>
    <m/>
    <m/>
    <m/>
    <m/>
    <m/>
    <m/>
    <m/>
    <m/>
    <m/>
    <m/>
    <m/>
    <m/>
    <m/>
    <m/>
    <m/>
    <m/>
    <m/>
  </r>
  <r>
    <x v="0"/>
    <n v="10"/>
    <s v="DGO"/>
    <x v="9"/>
    <s v="2021-2022"/>
    <x v="1"/>
    <n v="1607"/>
    <n v="722"/>
    <n v="885"/>
    <n v="29051"/>
    <n v="51"/>
    <n v="19"/>
    <n v="10"/>
    <n v="1355"/>
    <n v="103115"/>
    <n v="794"/>
    <n v="1601"/>
    <n v="294"/>
    <n v="500"/>
    <n v="1288"/>
    <n v="744"/>
    <n v="267"/>
    <n v="401"/>
    <n v="235"/>
    <n v="1607"/>
    <n v="45738490.170000002"/>
    <n v="148"/>
    <n v="260"/>
    <n v="1904"/>
    <n v="34"/>
    <n v="32"/>
    <n v="32"/>
    <n v="26"/>
    <n v="26"/>
    <m/>
    <m/>
    <m/>
    <m/>
    <m/>
    <m/>
    <m/>
    <m/>
    <m/>
    <m/>
    <m/>
    <m/>
    <m/>
    <m/>
    <m/>
    <m/>
    <m/>
  </r>
  <r>
    <x v="0"/>
    <n v="11"/>
    <s v="GTO"/>
    <x v="10"/>
    <s v="2021-2022"/>
    <x v="1"/>
    <n v="16462"/>
    <n v="6288"/>
    <n v="10174"/>
    <n v="100029"/>
    <n v="308"/>
    <n v="90"/>
    <n v="82"/>
    <n v="15302"/>
    <n v="339774"/>
    <n v="7626"/>
    <n v="17465"/>
    <n v="4136"/>
    <n v="3989"/>
    <n v="15576"/>
    <n v="6642"/>
    <n v="4068"/>
    <n v="5149"/>
    <n v="4886"/>
    <n v="16462"/>
    <n v="292445970.76999998"/>
    <n v="804"/>
    <n v="2187"/>
    <n v="1214"/>
    <n v="107"/>
    <n v="1029"/>
    <n v="1309"/>
    <n v="119"/>
    <n v="96"/>
    <n v="6553"/>
    <m/>
    <m/>
    <m/>
    <m/>
    <m/>
    <m/>
    <m/>
    <m/>
    <m/>
    <m/>
    <m/>
    <m/>
    <m/>
    <m/>
    <m/>
    <m/>
  </r>
  <r>
    <x v="0"/>
    <n v="12"/>
    <s v="GRO"/>
    <x v="11"/>
    <s v="2021-2022"/>
    <x v="1"/>
    <n v="5818"/>
    <n v="2452"/>
    <n v="3366"/>
    <n v="60756"/>
    <n v="134"/>
    <n v="26"/>
    <n v="41"/>
    <n v="5107"/>
    <n v="209485"/>
    <n v="2768"/>
    <n v="5983"/>
    <n v="1328"/>
    <n v="1597"/>
    <n v="5020"/>
    <n v="2388"/>
    <n v="1270"/>
    <n v="1392"/>
    <n v="1045"/>
    <n v="5818"/>
    <n v="169830661"/>
    <n v="290"/>
    <n v="719"/>
    <n v="11625"/>
    <n v="644"/>
    <n v="7"/>
    <n v="7"/>
    <n v="20"/>
    <n v="20"/>
    <m/>
    <m/>
    <m/>
    <m/>
    <m/>
    <m/>
    <m/>
    <m/>
    <m/>
    <m/>
    <m/>
    <m/>
    <m/>
    <m/>
    <m/>
    <m/>
    <m/>
  </r>
  <r>
    <x v="0"/>
    <n v="13"/>
    <s v="HGO"/>
    <x v="12"/>
    <s v="2021-2022"/>
    <x v="1"/>
    <n v="3684"/>
    <n v="1427"/>
    <n v="2257"/>
    <n v="55543"/>
    <n v="72"/>
    <n v="37"/>
    <n v="17"/>
    <n v="3325"/>
    <n v="165727"/>
    <n v="1723"/>
    <n v="3744"/>
    <n v="913"/>
    <n v="469"/>
    <n v="3397"/>
    <n v="1421"/>
    <n v="868"/>
    <n v="864"/>
    <n v="862"/>
    <n v="3684"/>
    <n v="70934691.959999993"/>
    <n v="194"/>
    <n v="428"/>
    <n v="1140"/>
    <m/>
    <n v="29"/>
    <n v="35"/>
    <n v="79"/>
    <n v="76"/>
    <m/>
    <m/>
    <m/>
    <m/>
    <m/>
    <m/>
    <m/>
    <m/>
    <m/>
    <m/>
    <m/>
    <m/>
    <m/>
    <m/>
    <m/>
    <m/>
    <m/>
  </r>
  <r>
    <x v="0"/>
    <n v="14"/>
    <s v="JAL"/>
    <x v="13"/>
    <s v="2021-2022"/>
    <x v="1"/>
    <n v="13107"/>
    <n v="4606"/>
    <n v="8501"/>
    <n v="132315"/>
    <n v="273"/>
    <n v="38"/>
    <n v="64"/>
    <n v="11022"/>
    <n v="446045"/>
    <n v="4678"/>
    <n v="13609"/>
    <n v="2961"/>
    <n v="2347"/>
    <n v="12207"/>
    <n v="5515"/>
    <n v="2750"/>
    <n v="3267"/>
    <n v="2879"/>
    <n v="13107"/>
    <n v="282480364.50000006"/>
    <n v="737"/>
    <n v="2084"/>
    <n v="9912"/>
    <n v="530"/>
    <n v="977"/>
    <n v="1098"/>
    <n v="306"/>
    <n v="189"/>
    <n v="755"/>
    <m/>
    <m/>
    <m/>
    <m/>
    <m/>
    <m/>
    <m/>
    <m/>
    <m/>
    <m/>
    <m/>
    <m/>
    <m/>
    <m/>
    <m/>
    <m/>
  </r>
  <r>
    <x v="0"/>
    <n v="15"/>
    <s v="MEX"/>
    <x v="14"/>
    <s v="2021-2022"/>
    <x v="1"/>
    <n v="48029"/>
    <n v="18271"/>
    <n v="29758"/>
    <n v="280953"/>
    <n v="792"/>
    <n v="188"/>
    <n v="205"/>
    <n v="43041"/>
    <n v="887753"/>
    <n v="18288"/>
    <n v="47010"/>
    <n v="10832"/>
    <n v="4334"/>
    <n v="43239"/>
    <n v="18922"/>
    <n v="10186"/>
    <n v="9977"/>
    <n v="6508"/>
    <n v="48029"/>
    <n v="822953049.16999996"/>
    <n v="2092"/>
    <n v="4445"/>
    <n v="6191"/>
    <n v="1137"/>
    <n v="1057"/>
    <n v="1231"/>
    <n v="2732"/>
    <n v="1171"/>
    <n v="1007"/>
    <m/>
    <m/>
    <m/>
    <m/>
    <m/>
    <m/>
    <m/>
    <m/>
    <m/>
    <m/>
    <m/>
    <m/>
    <m/>
    <m/>
    <m/>
    <m/>
  </r>
  <r>
    <x v="0"/>
    <n v="16"/>
    <s v="MICH"/>
    <x v="15"/>
    <s v="2021-2022"/>
    <x v="1"/>
    <n v="10545"/>
    <n v="4133"/>
    <n v="6412"/>
    <n v="69477"/>
    <n v="244"/>
    <n v="53"/>
    <n v="66"/>
    <n v="9223"/>
    <n v="260389"/>
    <n v="4562"/>
    <n v="11062"/>
    <n v="2470"/>
    <n v="655"/>
    <n v="9357"/>
    <n v="4376"/>
    <n v="2325"/>
    <n v="2596"/>
    <n v="2292"/>
    <n v="10545"/>
    <n v="213395957.60999998"/>
    <n v="439"/>
    <n v="1204"/>
    <n v="495"/>
    <n v="284"/>
    <n v="259"/>
    <n v="266"/>
    <n v="6080"/>
    <n v="4994"/>
    <m/>
    <m/>
    <m/>
    <m/>
    <m/>
    <m/>
    <m/>
    <m/>
    <m/>
    <m/>
    <m/>
    <m/>
    <m/>
    <m/>
    <m/>
    <m/>
    <m/>
  </r>
  <r>
    <x v="0"/>
    <n v="17"/>
    <s v="MOR"/>
    <x v="16"/>
    <s v="2021-2022"/>
    <x v="1"/>
    <n v="4277"/>
    <n v="1854"/>
    <n v="2423"/>
    <n v="31224"/>
    <n v="74"/>
    <n v="17"/>
    <n v="13"/>
    <n v="3796"/>
    <n v="102796"/>
    <n v="2152"/>
    <n v="4340"/>
    <n v="932"/>
    <n v="809"/>
    <n v="3643"/>
    <n v="1846"/>
    <n v="854"/>
    <n v="981"/>
    <n v="855"/>
    <n v="4277"/>
    <n v="78374947.460000008"/>
    <n v="235"/>
    <n v="532"/>
    <n v="1414"/>
    <n v="64"/>
    <n v="167"/>
    <n v="184"/>
    <n v="991"/>
    <n v="991"/>
    <m/>
    <m/>
    <m/>
    <m/>
    <m/>
    <m/>
    <m/>
    <m/>
    <m/>
    <m/>
    <m/>
    <m/>
    <m/>
    <m/>
    <m/>
    <m/>
    <m/>
  </r>
  <r>
    <x v="0"/>
    <n v="18"/>
    <s v="NAY"/>
    <x v="17"/>
    <s v="2021-2022"/>
    <x v="1"/>
    <n v="2949"/>
    <n v="1280"/>
    <n v="1669"/>
    <n v="19826"/>
    <n v="59"/>
    <n v="10"/>
    <n v="14"/>
    <n v="2794"/>
    <n v="68627"/>
    <n v="1443"/>
    <n v="2894"/>
    <n v="464"/>
    <n v="982"/>
    <n v="2409"/>
    <n v="1114"/>
    <n v="433"/>
    <n v="568"/>
    <n v="339"/>
    <n v="2949"/>
    <n v="56027295.090000004"/>
    <n v="132"/>
    <n v="361"/>
    <n v="2448"/>
    <n v="11"/>
    <n v="28"/>
    <n v="28"/>
    <n v="0"/>
    <n v="0"/>
    <m/>
    <m/>
    <m/>
    <m/>
    <m/>
    <m/>
    <m/>
    <m/>
    <m/>
    <m/>
    <m/>
    <m/>
    <m/>
    <m/>
    <m/>
    <m/>
    <m/>
  </r>
  <r>
    <x v="0"/>
    <n v="19"/>
    <s v="NL"/>
    <x v="18"/>
    <s v="2021-2022"/>
    <x v="1"/>
    <n v="23335"/>
    <n v="8841"/>
    <n v="14494"/>
    <n v="89094"/>
    <n v="298"/>
    <n v="78"/>
    <n v="81"/>
    <n v="19836"/>
    <n v="283595"/>
    <n v="10564"/>
    <n v="21963"/>
    <n v="5910"/>
    <n v="1888"/>
    <n v="21228"/>
    <n v="7840"/>
    <n v="5701"/>
    <n v="5889"/>
    <n v="5731"/>
    <n v="23335"/>
    <n v="287356729"/>
    <n v="1008"/>
    <n v="1549"/>
    <n v="39669"/>
    <n v="1274"/>
    <n v="1832"/>
    <n v="2037"/>
    <n v="94595"/>
    <n v="73570"/>
    <n v="384"/>
    <m/>
    <m/>
    <m/>
    <m/>
    <m/>
    <m/>
    <m/>
    <m/>
    <m/>
    <m/>
    <m/>
    <m/>
    <m/>
    <m/>
    <m/>
    <m/>
  </r>
  <r>
    <x v="1"/>
    <n v="20"/>
    <s v="OAX"/>
    <x v="19"/>
    <s v="2021-2022"/>
    <x v="1"/>
    <n v="5832"/>
    <n v="2203"/>
    <n v="3629"/>
    <n v="71849"/>
    <n v="121"/>
    <n v="24"/>
    <n v="31"/>
    <n v="4972"/>
    <n v="229797"/>
    <n v="2633"/>
    <n v="6354"/>
    <n v="1054"/>
    <n v="1793"/>
    <n v="5128"/>
    <n v="2220"/>
    <n v="1004"/>
    <n v="1223"/>
    <n v="611"/>
    <n v="5832"/>
    <n v="217167527.859029"/>
    <n v="395"/>
    <n v="637"/>
    <n v="571"/>
    <n v="4"/>
    <n v="3"/>
    <n v="22"/>
    <n v="67"/>
    <n v="67"/>
    <m/>
    <m/>
    <m/>
    <m/>
    <m/>
    <m/>
    <m/>
    <m/>
    <m/>
    <m/>
    <m/>
    <m/>
    <m/>
    <m/>
    <m/>
    <m/>
    <m/>
  </r>
  <r>
    <x v="0"/>
    <n v="21"/>
    <s v="PUE"/>
    <x v="20"/>
    <s v="2021-2022"/>
    <x v="1"/>
    <n v="7616"/>
    <n v="2960"/>
    <n v="4656"/>
    <n v="111386"/>
    <n v="153"/>
    <n v="41"/>
    <n v="39"/>
    <n v="6877"/>
    <n v="368029"/>
    <n v="3474"/>
    <n v="7329"/>
    <n v="1923"/>
    <n v="255"/>
    <n v="6814"/>
    <n v="2756"/>
    <n v="1850"/>
    <n v="1948"/>
    <n v="1693"/>
    <n v="7616"/>
    <n v="167926851.00999999"/>
    <n v="390"/>
    <n v="1005"/>
    <n v="381"/>
    <n v="203"/>
    <n v="88"/>
    <n v="91"/>
    <n v="1868"/>
    <n v="1369"/>
    <m/>
    <m/>
    <m/>
    <m/>
    <m/>
    <m/>
    <m/>
    <m/>
    <m/>
    <m/>
    <m/>
    <m/>
    <m/>
    <m/>
    <m/>
    <m/>
    <m/>
  </r>
  <r>
    <x v="0"/>
    <n v="22"/>
    <s v="QRO"/>
    <x v="21"/>
    <s v="2021-2022"/>
    <x v="1"/>
    <n v="3548"/>
    <n v="1603"/>
    <n v="1945"/>
    <n v="37075"/>
    <n v="68"/>
    <n v="23"/>
    <n v="26"/>
    <n v="3268"/>
    <n v="120618"/>
    <n v="2309"/>
    <n v="3502"/>
    <n v="725"/>
    <n v="787"/>
    <n v="2897"/>
    <n v="1380"/>
    <n v="709"/>
    <n v="883"/>
    <n v="865"/>
    <n v="3548"/>
    <n v="68624849"/>
    <n v="232"/>
    <n v="449"/>
    <n v="205"/>
    <n v="41"/>
    <n v="139"/>
    <n v="162"/>
    <n v="16"/>
    <n v="10"/>
    <m/>
    <m/>
    <m/>
    <m/>
    <m/>
    <m/>
    <m/>
    <m/>
    <m/>
    <m/>
    <m/>
    <m/>
    <m/>
    <m/>
    <m/>
    <m/>
    <m/>
  </r>
  <r>
    <x v="0"/>
    <n v="23"/>
    <s v="QROO"/>
    <x v="22"/>
    <s v="2021-2022"/>
    <x v="1"/>
    <n v="9384"/>
    <n v="3535"/>
    <n v="5849"/>
    <n v="28166"/>
    <n v="113"/>
    <n v="14"/>
    <n v="27"/>
    <n v="8408"/>
    <n v="89680"/>
    <n v="3727"/>
    <n v="8623"/>
    <n v="2092"/>
    <n v="1124"/>
    <n v="8252"/>
    <n v="3139"/>
    <n v="2052"/>
    <n v="2199"/>
    <n v="1966"/>
    <n v="9384"/>
    <n v="107467606.17"/>
    <n v="406"/>
    <n v="771"/>
    <n v="6838"/>
    <n v="63"/>
    <n v="13"/>
    <n v="61"/>
    <n v="367"/>
    <n v="119"/>
    <m/>
    <m/>
    <m/>
    <m/>
    <m/>
    <m/>
    <m/>
    <m/>
    <m/>
    <m/>
    <m/>
    <m/>
    <m/>
    <m/>
    <m/>
    <m/>
    <m/>
  </r>
  <r>
    <x v="0"/>
    <n v="24"/>
    <s v="SLP"/>
    <x v="23"/>
    <s v="2021-2022"/>
    <x v="1"/>
    <n v="4786"/>
    <n v="1842"/>
    <n v="2944"/>
    <n v="46971"/>
    <n v="98"/>
    <n v="26"/>
    <n v="25"/>
    <n v="4318"/>
    <n v="155782"/>
    <n v="2087"/>
    <n v="4774"/>
    <n v="1131"/>
    <n v="1127"/>
    <n v="4286"/>
    <n v="1930"/>
    <n v="1099"/>
    <n v="1483"/>
    <n v="1422"/>
    <n v="4786"/>
    <n v="95196960.980000004"/>
    <n v="234"/>
    <n v="427"/>
    <n v="1169"/>
    <n v="193"/>
    <n v="701"/>
    <n v="702"/>
    <n v="285"/>
    <n v="153"/>
    <m/>
    <m/>
    <m/>
    <m/>
    <m/>
    <m/>
    <m/>
    <m/>
    <m/>
    <m/>
    <m/>
    <m/>
    <m/>
    <m/>
    <m/>
    <m/>
    <m/>
  </r>
  <r>
    <x v="0"/>
    <n v="25"/>
    <s v="SIN"/>
    <x v="24"/>
    <s v="2021-2022"/>
    <x v="1"/>
    <n v="7922"/>
    <n v="2930"/>
    <n v="4992"/>
    <n v="48285"/>
    <n v="236"/>
    <n v="72"/>
    <n v="40"/>
    <n v="7167"/>
    <n v="165565"/>
    <n v="3135"/>
    <n v="8184"/>
    <n v="2057"/>
    <n v="1583"/>
    <n v="7385"/>
    <n v="3373"/>
    <n v="1961"/>
    <n v="2478"/>
    <n v="2471"/>
    <n v="7922"/>
    <n v="299164453"/>
    <n v="482"/>
    <n v="1117"/>
    <n v="190"/>
    <n v="246"/>
    <n v="157"/>
    <n v="283"/>
    <n v="0"/>
    <n v="0"/>
    <m/>
    <m/>
    <m/>
    <m/>
    <m/>
    <m/>
    <m/>
    <m/>
    <m/>
    <m/>
    <m/>
    <m/>
    <m/>
    <m/>
    <m/>
    <m/>
    <m/>
  </r>
  <r>
    <x v="0"/>
    <n v="26"/>
    <s v="SON"/>
    <x v="25"/>
    <s v="2021-2022"/>
    <x v="1"/>
    <n v="15407"/>
    <n v="5630"/>
    <n v="9777"/>
    <n v="48473"/>
    <n v="266"/>
    <n v="49"/>
    <n v="45"/>
    <n v="13850"/>
    <n v="160673"/>
    <n v="5655"/>
    <n v="15455"/>
    <n v="3082"/>
    <n v="4215"/>
    <n v="13992"/>
    <n v="5940"/>
    <n v="2909"/>
    <n v="3099"/>
    <n v="1844"/>
    <n v="15407"/>
    <n v="248294291.78"/>
    <n v="552"/>
    <n v="857"/>
    <n v="943"/>
    <n v="99"/>
    <n v="42"/>
    <n v="50"/>
    <n v="11"/>
    <n v="11"/>
    <m/>
    <m/>
    <m/>
    <m/>
    <m/>
    <m/>
    <m/>
    <m/>
    <m/>
    <m/>
    <m/>
    <m/>
    <m/>
    <m/>
    <m/>
    <m/>
    <m/>
  </r>
  <r>
    <x v="0"/>
    <n v="27"/>
    <s v="TAB"/>
    <x v="26"/>
    <s v="2021-2022"/>
    <x v="1"/>
    <n v="5431"/>
    <n v="2038"/>
    <n v="3393"/>
    <n v="43745"/>
    <n v="90"/>
    <n v="27"/>
    <n v="21"/>
    <n v="4981"/>
    <n v="134923"/>
    <n v="2039"/>
    <n v="5252"/>
    <n v="1404"/>
    <n v="288"/>
    <n v="4943"/>
    <n v="2062"/>
    <n v="1356"/>
    <n v="1487"/>
    <n v="1462"/>
    <n v="5431"/>
    <n v="125298553.3"/>
    <n v="295"/>
    <n v="484"/>
    <n v="27"/>
    <n v="19"/>
    <n v="88"/>
    <n v="110"/>
    <n v="53"/>
    <n v="53"/>
    <m/>
    <m/>
    <m/>
    <m/>
    <m/>
    <m/>
    <m/>
    <m/>
    <m/>
    <m/>
    <m/>
    <m/>
    <m/>
    <m/>
    <m/>
    <m/>
    <m/>
  </r>
  <r>
    <x v="0"/>
    <n v="28"/>
    <s v="TAMPS"/>
    <x v="27"/>
    <s v="2021-2022"/>
    <x v="1"/>
    <n v="6916"/>
    <n v="2568"/>
    <n v="4348"/>
    <n v="55743"/>
    <n v="164"/>
    <n v="29"/>
    <n v="43"/>
    <n v="6422"/>
    <n v="188646"/>
    <n v="2764"/>
    <n v="7597"/>
    <n v="1875"/>
    <n v="849"/>
    <n v="6748"/>
    <n v="3183"/>
    <n v="1780"/>
    <n v="1904"/>
    <n v="1898"/>
    <n v="6916"/>
    <n v="190490914.06"/>
    <n v="368"/>
    <n v="1077"/>
    <n v="2941"/>
    <n v="96"/>
    <n v="95"/>
    <n v="103"/>
    <n v="47"/>
    <n v="47"/>
    <n v="22"/>
    <m/>
    <m/>
    <m/>
    <m/>
    <m/>
    <m/>
    <m/>
    <m/>
    <m/>
    <m/>
    <m/>
    <m/>
    <m/>
    <m/>
    <m/>
    <m/>
  </r>
  <r>
    <x v="0"/>
    <n v="29"/>
    <s v="TLAX"/>
    <x v="28"/>
    <s v="2021-2022"/>
    <x v="1"/>
    <n v="3146"/>
    <n v="1121"/>
    <n v="2025"/>
    <n v="24231"/>
    <n v="49"/>
    <n v="18"/>
    <n v="15"/>
    <n v="2953"/>
    <n v="74880"/>
    <n v="1206"/>
    <n v="3179"/>
    <n v="789"/>
    <n v="328"/>
    <n v="2908"/>
    <n v="1170"/>
    <n v="765"/>
    <n v="855"/>
    <n v="820"/>
    <n v="3146"/>
    <n v="48788326"/>
    <n v="180"/>
    <n v="455"/>
    <n v="0"/>
    <n v="126"/>
    <n v="17"/>
    <n v="20"/>
    <n v="7"/>
    <n v="0"/>
    <m/>
    <m/>
    <m/>
    <m/>
    <m/>
    <m/>
    <m/>
    <m/>
    <m/>
    <m/>
    <m/>
    <m/>
    <m/>
    <m/>
    <m/>
    <m/>
    <m/>
  </r>
  <r>
    <x v="0"/>
    <n v="30"/>
    <s v="VER"/>
    <x v="29"/>
    <s v="2021-2022"/>
    <x v="1"/>
    <n v="11461"/>
    <n v="4401"/>
    <n v="7060"/>
    <n v="119949"/>
    <n v="172"/>
    <n v="44"/>
    <n v="74"/>
    <n v="10631"/>
    <n v="432659"/>
    <n v="5251"/>
    <n v="10340"/>
    <n v="2477"/>
    <n v="1205"/>
    <n v="9959"/>
    <n v="3279"/>
    <n v="2432"/>
    <n v="2333"/>
    <n v="2161"/>
    <n v="11461"/>
    <n v="263259835"/>
    <n v="565"/>
    <n v="1543"/>
    <n v="4605"/>
    <n v="31"/>
    <n v="69"/>
    <n v="79"/>
    <n v="435"/>
    <n v="424"/>
    <n v="396"/>
    <m/>
    <m/>
    <m/>
    <m/>
    <m/>
    <m/>
    <m/>
    <m/>
    <m/>
    <m/>
    <m/>
    <m/>
    <m/>
    <m/>
    <m/>
    <m/>
  </r>
  <r>
    <x v="0"/>
    <n v="31"/>
    <s v="YUC"/>
    <x v="30"/>
    <s v="2021-2022"/>
    <x v="1"/>
    <n v="5289"/>
    <n v="1994"/>
    <n v="3295"/>
    <n v="34755"/>
    <n v="69"/>
    <n v="14"/>
    <n v="18"/>
    <n v="4281"/>
    <n v="114433"/>
    <n v="2180"/>
    <n v="5397"/>
    <n v="973"/>
    <n v="1559"/>
    <n v="4646"/>
    <n v="1915"/>
    <n v="929"/>
    <n v="1234"/>
    <n v="998"/>
    <n v="5289"/>
    <n v="125424372"/>
    <n v="264"/>
    <n v="484"/>
    <n v="4243"/>
    <n v="205"/>
    <n v="153"/>
    <n v="261"/>
    <n v="837"/>
    <n v="812"/>
    <m/>
    <m/>
    <m/>
    <m/>
    <m/>
    <m/>
    <m/>
    <m/>
    <m/>
    <m/>
    <m/>
    <m/>
    <m/>
    <m/>
    <m/>
    <m/>
    <m/>
  </r>
  <r>
    <x v="0"/>
    <n v="32"/>
    <s v="ZAC"/>
    <x v="31"/>
    <s v="2021-2022"/>
    <x v="1"/>
    <n v="1419"/>
    <n v="656"/>
    <n v="763"/>
    <n v="27155"/>
    <n v="60"/>
    <n v="21"/>
    <n v="7"/>
    <n v="1162"/>
    <n v="91049"/>
    <n v="719"/>
    <n v="1312"/>
    <n v="249"/>
    <n v="403"/>
    <n v="1067"/>
    <n v="619"/>
    <n v="223"/>
    <n v="290"/>
    <n v="284"/>
    <n v="1419"/>
    <n v="52455567"/>
    <n v="79"/>
    <n v="197"/>
    <n v="452"/>
    <n v="129"/>
    <n v="61"/>
    <n v="61"/>
    <n v="0"/>
    <n v="0"/>
    <m/>
    <m/>
    <m/>
    <m/>
    <m/>
    <m/>
    <m/>
    <m/>
    <m/>
    <m/>
    <m/>
    <m/>
    <m/>
    <m/>
    <m/>
    <m/>
    <m/>
  </r>
  <r>
    <x v="2"/>
    <n v="33"/>
    <s v="OTRO"/>
    <x v="32"/>
    <s v="2021-2022"/>
    <x v="1"/>
    <m/>
    <m/>
    <m/>
    <m/>
    <m/>
    <m/>
    <m/>
    <m/>
    <m/>
    <m/>
    <m/>
    <m/>
    <m/>
    <m/>
    <m/>
    <m/>
    <m/>
    <m/>
    <m/>
    <m/>
    <m/>
    <m/>
    <m/>
    <m/>
    <m/>
    <m/>
    <n v="448"/>
    <n v="443"/>
    <m/>
    <m/>
    <m/>
    <m/>
    <m/>
    <m/>
    <m/>
    <m/>
    <m/>
    <m/>
    <m/>
    <m/>
    <m/>
    <m/>
    <m/>
    <m/>
    <m/>
  </r>
  <r>
    <x v="1"/>
    <n v="0"/>
    <s v="ON"/>
    <x v="33"/>
    <s v="2021-2022"/>
    <x v="1"/>
    <m/>
    <m/>
    <m/>
    <m/>
    <m/>
    <m/>
    <m/>
    <m/>
    <m/>
    <m/>
    <m/>
    <m/>
    <m/>
    <m/>
    <m/>
    <m/>
    <m/>
    <m/>
    <m/>
    <m/>
    <m/>
    <m/>
    <n v="769"/>
    <m/>
    <m/>
    <m/>
    <n v="2785"/>
    <n v="2773"/>
    <m/>
    <n v="461057.18076000002"/>
    <n v="1569932.3870000001"/>
    <n v="1597687.4310000001"/>
    <n v="1609932.3870000001"/>
    <n v="1569932.3870000001"/>
    <n v="1569932.3870000001"/>
    <n v="1597687.4310000001"/>
    <n v="1609932.3870000001"/>
    <n v="0"/>
    <n v="0"/>
    <n v="27755.044000000002"/>
    <n v="1597687.4310000001"/>
    <n v="27668.057000000001"/>
    <n v="40000"/>
    <n v="1422248.821"/>
    <n v="1457643.3670000001"/>
  </r>
  <r>
    <x v="0"/>
    <n v="1"/>
    <s v="AGS"/>
    <x v="0"/>
    <s v="2012-2013"/>
    <x v="2"/>
    <n v="4876"/>
    <n v="1859"/>
    <n v="3017"/>
    <n v="20398"/>
    <n v="60"/>
    <n v="14"/>
    <n v="14"/>
    <n v="4112"/>
    <n v="74697.646290988239"/>
    <n v="4668"/>
    <n v="4767"/>
    <n v="1103"/>
    <m/>
    <m/>
    <n v="1624"/>
    <n v="963"/>
    <n v="944"/>
    <n v="909"/>
    <n v="4876"/>
    <n v="48953729"/>
    <n v="288"/>
    <n v="403"/>
    <n v="6562"/>
    <n v="164"/>
    <m/>
    <m/>
    <m/>
    <m/>
    <m/>
    <m/>
    <m/>
    <m/>
    <m/>
    <m/>
    <m/>
    <m/>
    <m/>
    <m/>
    <m/>
    <m/>
    <m/>
    <m/>
    <m/>
    <m/>
    <m/>
  </r>
  <r>
    <x v="0"/>
    <n v="2"/>
    <s v="BC"/>
    <x v="1"/>
    <s v="2012-2013"/>
    <x v="2"/>
    <n v="8368"/>
    <n v="3424"/>
    <n v="4944"/>
    <n v="49802"/>
    <n v="119"/>
    <n v="21"/>
    <n v="25"/>
    <n v="6792"/>
    <n v="192090.84815481934"/>
    <n v="4392"/>
    <n v="8361"/>
    <n v="1726"/>
    <m/>
    <m/>
    <n v="3324"/>
    <n v="1526"/>
    <n v="1452"/>
    <n v="1402"/>
    <n v="8368"/>
    <n v="107428039"/>
    <n v="404"/>
    <n v="696"/>
    <n v="20418"/>
    <n v="6"/>
    <m/>
    <m/>
    <m/>
    <m/>
    <n v="2528"/>
    <m/>
    <m/>
    <m/>
    <m/>
    <m/>
    <m/>
    <m/>
    <m/>
    <m/>
    <m/>
    <m/>
    <m/>
    <m/>
    <m/>
    <m/>
    <m/>
  </r>
  <r>
    <x v="0"/>
    <n v="3"/>
    <s v="BCS"/>
    <x v="2"/>
    <s v="2012-2013"/>
    <x v="2"/>
    <n v="1902"/>
    <n v="858"/>
    <n v="1044"/>
    <n v="10312"/>
    <n v="29"/>
    <n v="5"/>
    <n v="2"/>
    <n v="1482"/>
    <n v="37800.625728817657"/>
    <n v="1173"/>
    <n v="1691"/>
    <n v="450"/>
    <m/>
    <m/>
    <n v="813"/>
    <n v="420"/>
    <n v="361"/>
    <n v="337"/>
    <n v="1902"/>
    <n v="26873657"/>
    <n v="86"/>
    <n v="217"/>
    <n v="3026"/>
    <n v="0"/>
    <m/>
    <m/>
    <m/>
    <m/>
    <m/>
    <m/>
    <m/>
    <m/>
    <m/>
    <m/>
    <m/>
    <m/>
    <m/>
    <m/>
    <m/>
    <m/>
    <m/>
    <m/>
    <m/>
    <m/>
    <m/>
  </r>
  <r>
    <x v="0"/>
    <n v="4"/>
    <s v="CAMP"/>
    <x v="3"/>
    <s v="2012-2013"/>
    <x v="2"/>
    <n v="1864"/>
    <n v="802"/>
    <n v="1062"/>
    <n v="12415"/>
    <n v="37"/>
    <n v="8"/>
    <n v="14"/>
    <n v="1334"/>
    <n v="49910.405898190787"/>
    <n v="1018"/>
    <n v="1773"/>
    <n v="323"/>
    <m/>
    <m/>
    <n v="701"/>
    <n v="274"/>
    <n v="268"/>
    <n v="256"/>
    <n v="1864"/>
    <n v="32707759"/>
    <n v="113"/>
    <n v="264"/>
    <n v="2301"/>
    <n v="68"/>
    <m/>
    <m/>
    <m/>
    <m/>
    <m/>
    <m/>
    <m/>
    <m/>
    <m/>
    <m/>
    <m/>
    <m/>
    <m/>
    <m/>
    <m/>
    <m/>
    <m/>
    <m/>
    <m/>
    <m/>
    <m/>
  </r>
  <r>
    <x v="0"/>
    <n v="7"/>
    <s v="CHIAP"/>
    <x v="4"/>
    <s v="2012-2013"/>
    <x v="2"/>
    <n v="7730"/>
    <n v="2882"/>
    <n v="4848"/>
    <n v="85110"/>
    <n v="118"/>
    <n v="16"/>
    <n v="42"/>
    <n v="5618"/>
    <n v="336550.24744312256"/>
    <n v="4214"/>
    <n v="7326"/>
    <n v="1395"/>
    <m/>
    <m/>
    <n v="2390"/>
    <n v="1305"/>
    <n v="1230"/>
    <n v="1169"/>
    <n v="7730"/>
    <n v="122421262"/>
    <n v="479"/>
    <n v="666"/>
    <n v="5593"/>
    <n v="0"/>
    <m/>
    <m/>
    <m/>
    <m/>
    <m/>
    <m/>
    <m/>
    <m/>
    <m/>
    <m/>
    <m/>
    <m/>
    <m/>
    <m/>
    <m/>
    <m/>
    <m/>
    <m/>
    <m/>
    <m/>
    <m/>
  </r>
  <r>
    <x v="0"/>
    <n v="8"/>
    <s v="CHIH"/>
    <x v="5"/>
    <s v="2012-2013"/>
    <x v="2"/>
    <n v="9183"/>
    <n v="4195"/>
    <n v="4988"/>
    <n v="50851"/>
    <n v="136"/>
    <n v="20"/>
    <n v="36"/>
    <n v="7611"/>
    <n v="201025.68902505681"/>
    <n v="5056"/>
    <n v="8606"/>
    <n v="1685"/>
    <m/>
    <m/>
    <n v="3172"/>
    <n v="1499"/>
    <n v="1626"/>
    <n v="1561"/>
    <n v="9183"/>
    <n v="117528205"/>
    <n v="573"/>
    <n v="866"/>
    <n v="17438"/>
    <n v="429"/>
    <m/>
    <m/>
    <m/>
    <m/>
    <n v="1190"/>
    <m/>
    <m/>
    <m/>
    <m/>
    <m/>
    <m/>
    <m/>
    <m/>
    <m/>
    <m/>
    <m/>
    <m/>
    <m/>
    <m/>
    <m/>
    <m/>
  </r>
  <r>
    <x v="1"/>
    <n v="9"/>
    <s v="CDMX"/>
    <x v="6"/>
    <s v="2012-2013"/>
    <x v="2"/>
    <n v="43673"/>
    <n v="17932"/>
    <n v="25741"/>
    <n v="130411"/>
    <n v="537"/>
    <n v="95"/>
    <n v="175"/>
    <n v="32353"/>
    <n v="423138.95799915184"/>
    <n v="23573"/>
    <n v="44765"/>
    <n v="8530"/>
    <m/>
    <m/>
    <n v="19638"/>
    <n v="7474"/>
    <n v="7037"/>
    <n v="4977"/>
    <m/>
    <m/>
    <n v="2203"/>
    <n v="3057"/>
    <n v="22808"/>
    <n v="201"/>
    <m/>
    <m/>
    <m/>
    <m/>
    <m/>
    <m/>
    <m/>
    <m/>
    <m/>
    <m/>
    <m/>
    <m/>
    <m/>
    <m/>
    <m/>
    <m/>
    <m/>
    <m/>
    <m/>
    <m/>
    <m/>
  </r>
  <r>
    <x v="0"/>
    <n v="5"/>
    <s v="COAH"/>
    <x v="7"/>
    <s v="2012-2013"/>
    <x v="2"/>
    <n v="8071"/>
    <n v="3210"/>
    <n v="4861"/>
    <n v="40260"/>
    <n v="133"/>
    <n v="31"/>
    <n v="42"/>
    <n v="7126"/>
    <n v="162290.780422715"/>
    <n v="5111"/>
    <n v="7911"/>
    <n v="1734"/>
    <m/>
    <m/>
    <n v="3118"/>
    <n v="1594"/>
    <n v="1643"/>
    <n v="1635"/>
    <n v="8071"/>
    <n v="116866888"/>
    <n v="438"/>
    <n v="774"/>
    <n v="13884"/>
    <n v="104"/>
    <m/>
    <m/>
    <m/>
    <m/>
    <m/>
    <m/>
    <m/>
    <m/>
    <m/>
    <m/>
    <m/>
    <m/>
    <m/>
    <m/>
    <m/>
    <m/>
    <m/>
    <m/>
    <m/>
    <m/>
    <m/>
  </r>
  <r>
    <x v="0"/>
    <n v="6"/>
    <s v="COL"/>
    <x v="8"/>
    <s v="2012-2013"/>
    <x v="2"/>
    <n v="1864"/>
    <n v="837"/>
    <n v="1027"/>
    <n v="9463"/>
    <n v="33"/>
    <n v="5"/>
    <n v="10"/>
    <n v="1145"/>
    <n v="37652.050005981437"/>
    <n v="1083"/>
    <n v="1765"/>
    <n v="324"/>
    <m/>
    <m/>
    <n v="659"/>
    <n v="299"/>
    <n v="239"/>
    <n v="211"/>
    <n v="1864"/>
    <n v="33361684"/>
    <n v="131"/>
    <n v="258"/>
    <n v="4285"/>
    <n v="25"/>
    <m/>
    <m/>
    <m/>
    <m/>
    <m/>
    <m/>
    <m/>
    <m/>
    <m/>
    <m/>
    <m/>
    <m/>
    <m/>
    <m/>
    <m/>
    <m/>
    <m/>
    <m/>
    <m/>
    <m/>
    <m/>
  </r>
  <r>
    <x v="0"/>
    <n v="10"/>
    <s v="DGO"/>
    <x v="9"/>
    <s v="2012-2013"/>
    <x v="2"/>
    <n v="2386"/>
    <n v="1103"/>
    <n v="1283"/>
    <n v="26707"/>
    <n v="46"/>
    <n v="14"/>
    <n v="12"/>
    <n v="1984"/>
    <n v="103877.16130392933"/>
    <n v="1409"/>
    <n v="2350"/>
    <n v="420"/>
    <m/>
    <m/>
    <n v="1057"/>
    <n v="389"/>
    <n v="414"/>
    <n v="346"/>
    <n v="2386"/>
    <n v="31954556"/>
    <n v="163"/>
    <n v="254"/>
    <n v="9014"/>
    <n v="63"/>
    <m/>
    <m/>
    <m/>
    <m/>
    <m/>
    <m/>
    <m/>
    <m/>
    <m/>
    <m/>
    <m/>
    <m/>
    <m/>
    <m/>
    <m/>
    <m/>
    <m/>
    <m/>
    <m/>
    <m/>
    <m/>
  </r>
  <r>
    <x v="0"/>
    <n v="11"/>
    <s v="GTO"/>
    <x v="10"/>
    <s v="2012-2013"/>
    <x v="2"/>
    <n v="16619"/>
    <n v="6715"/>
    <n v="9904"/>
    <n v="90823"/>
    <n v="218"/>
    <n v="51"/>
    <n v="74"/>
    <n v="14073"/>
    <n v="350740.06544113893"/>
    <n v="10612"/>
    <n v="15961"/>
    <n v="3801"/>
    <m/>
    <m/>
    <n v="5966"/>
    <n v="3545"/>
    <n v="3234"/>
    <n v="3066"/>
    <n v="16619"/>
    <n v="186737077"/>
    <n v="942"/>
    <n v="1787"/>
    <n v="33636"/>
    <n v="233"/>
    <m/>
    <m/>
    <m/>
    <m/>
    <n v="9342"/>
    <m/>
    <m/>
    <m/>
    <m/>
    <m/>
    <m/>
    <m/>
    <m/>
    <m/>
    <m/>
    <m/>
    <m/>
    <m/>
    <m/>
    <m/>
    <m/>
  </r>
  <r>
    <x v="0"/>
    <n v="12"/>
    <s v="GRO"/>
    <x v="11"/>
    <s v="2012-2013"/>
    <x v="2"/>
    <n v="7047"/>
    <n v="2844"/>
    <n v="4203"/>
    <n v="59586"/>
    <n v="117"/>
    <n v="30"/>
    <n v="38"/>
    <n v="5657"/>
    <n v="229727.1363150301"/>
    <n v="4087"/>
    <n v="7093"/>
    <n v="1393"/>
    <m/>
    <m/>
    <n v="2925"/>
    <n v="1318"/>
    <n v="881"/>
    <n v="733"/>
    <n v="7047"/>
    <n v="101478941"/>
    <n v="334"/>
    <n v="509"/>
    <n v="4454"/>
    <n v="99"/>
    <m/>
    <m/>
    <m/>
    <m/>
    <m/>
    <m/>
    <m/>
    <m/>
    <m/>
    <m/>
    <m/>
    <m/>
    <m/>
    <m/>
    <m/>
    <m/>
    <m/>
    <m/>
    <m/>
    <m/>
    <m/>
  </r>
  <r>
    <x v="0"/>
    <n v="13"/>
    <s v="HGO"/>
    <x v="12"/>
    <s v="2012-2013"/>
    <x v="2"/>
    <n v="3690"/>
    <n v="1523"/>
    <n v="2167"/>
    <n v="47292"/>
    <n v="60"/>
    <n v="28"/>
    <n v="23"/>
    <n v="2872"/>
    <n v="160589.72081369814"/>
    <n v="1954"/>
    <n v="3694"/>
    <n v="787"/>
    <m/>
    <m/>
    <n v="1668"/>
    <n v="719"/>
    <n v="750"/>
    <n v="744"/>
    <n v="3690"/>
    <n v="49863435"/>
    <n v="217"/>
    <n v="347"/>
    <n v="2326"/>
    <n v="86"/>
    <m/>
    <m/>
    <m/>
    <m/>
    <m/>
    <m/>
    <m/>
    <m/>
    <m/>
    <m/>
    <m/>
    <m/>
    <m/>
    <m/>
    <m/>
    <m/>
    <m/>
    <m/>
    <m/>
    <m/>
    <m/>
  </r>
  <r>
    <x v="0"/>
    <n v="14"/>
    <s v="JAL"/>
    <x v="13"/>
    <s v="2012-2013"/>
    <x v="2"/>
    <n v="15407"/>
    <n v="6114"/>
    <n v="9293"/>
    <n v="106909"/>
    <n v="249"/>
    <n v="37"/>
    <n v="70"/>
    <n v="11805"/>
    <n v="435752.90556573274"/>
    <n v="10075"/>
    <n v="15218"/>
    <n v="3332"/>
    <m/>
    <m/>
    <n v="5916"/>
    <n v="2987"/>
    <n v="3123"/>
    <n v="3033"/>
    <n v="15407"/>
    <n v="201017410"/>
    <n v="885"/>
    <n v="1888"/>
    <n v="34114"/>
    <n v="580"/>
    <m/>
    <m/>
    <m/>
    <m/>
    <n v="479"/>
    <m/>
    <m/>
    <m/>
    <m/>
    <m/>
    <m/>
    <m/>
    <m/>
    <m/>
    <m/>
    <m/>
    <m/>
    <m/>
    <m/>
    <m/>
    <m/>
  </r>
  <r>
    <x v="0"/>
    <n v="15"/>
    <s v="MEX"/>
    <x v="14"/>
    <s v="2012-2013"/>
    <x v="2"/>
    <n v="48217"/>
    <n v="19660"/>
    <n v="28557"/>
    <n v="242886"/>
    <n v="723"/>
    <n v="133"/>
    <n v="217"/>
    <n v="37457"/>
    <n v="905523.85712835006"/>
    <n v="25023"/>
    <n v="48565"/>
    <n v="10484"/>
    <m/>
    <m/>
    <n v="22509"/>
    <n v="9088"/>
    <n v="8630"/>
    <n v="6876"/>
    <n v="48217"/>
    <n v="592551256"/>
    <n v="2613"/>
    <n v="3996"/>
    <n v="44733"/>
    <n v="670"/>
    <m/>
    <m/>
    <m/>
    <m/>
    <n v="2000"/>
    <m/>
    <m/>
    <m/>
    <m/>
    <m/>
    <m/>
    <m/>
    <m/>
    <m/>
    <m/>
    <m/>
    <m/>
    <m/>
    <m/>
    <m/>
    <m/>
  </r>
  <r>
    <x v="0"/>
    <n v="16"/>
    <s v="MICH"/>
    <x v="15"/>
    <s v="2012-2013"/>
    <x v="2"/>
    <n v="12293"/>
    <n v="5099"/>
    <n v="7194"/>
    <n v="63423"/>
    <n v="237"/>
    <n v="48"/>
    <n v="62"/>
    <n v="9265"/>
    <n v="270428.32494369015"/>
    <n v="6739"/>
    <n v="12071"/>
    <n v="2619"/>
    <m/>
    <m/>
    <n v="4986"/>
    <n v="2285"/>
    <n v="2112"/>
    <n v="1958"/>
    <n v="12293"/>
    <n v="163225447"/>
    <n v="490"/>
    <n v="940"/>
    <n v="7708"/>
    <n v="150"/>
    <m/>
    <m/>
    <m/>
    <m/>
    <m/>
    <m/>
    <m/>
    <m/>
    <m/>
    <m/>
    <m/>
    <m/>
    <m/>
    <m/>
    <m/>
    <m/>
    <m/>
    <m/>
    <m/>
    <m/>
    <m/>
  </r>
  <r>
    <x v="0"/>
    <n v="17"/>
    <s v="MOR"/>
    <x v="16"/>
    <s v="2012-2013"/>
    <x v="2"/>
    <n v="5012"/>
    <n v="2002"/>
    <n v="3010"/>
    <n v="30555"/>
    <n v="60"/>
    <n v="17"/>
    <n v="12"/>
    <n v="4234"/>
    <n v="104617.93567797635"/>
    <n v="3222"/>
    <n v="5052"/>
    <n v="1155"/>
    <m/>
    <m/>
    <n v="2032"/>
    <n v="1059"/>
    <n v="962"/>
    <n v="809"/>
    <n v="5012"/>
    <n v="56023818"/>
    <n v="252"/>
    <n v="515"/>
    <n v="5342"/>
    <n v="8"/>
    <m/>
    <m/>
    <m/>
    <m/>
    <m/>
    <m/>
    <m/>
    <m/>
    <m/>
    <m/>
    <m/>
    <m/>
    <m/>
    <m/>
    <m/>
    <m/>
    <m/>
    <m/>
    <m/>
    <m/>
    <m/>
  </r>
  <r>
    <x v="0"/>
    <n v="18"/>
    <s v="NAY"/>
    <x v="17"/>
    <s v="2012-2013"/>
    <x v="2"/>
    <n v="3043"/>
    <n v="1267"/>
    <n v="1776"/>
    <n v="17116"/>
    <n v="35"/>
    <n v="7"/>
    <n v="7"/>
    <n v="2756"/>
    <n v="65043.64849579391"/>
    <n v="1645"/>
    <n v="3029"/>
    <n v="727"/>
    <m/>
    <m/>
    <n v="1259"/>
    <n v="692"/>
    <n v="504"/>
    <n v="488"/>
    <n v="3043"/>
    <n v="42086753"/>
    <n v="122"/>
    <n v="334"/>
    <n v="1997"/>
    <n v="1"/>
    <m/>
    <m/>
    <m/>
    <m/>
    <m/>
    <m/>
    <m/>
    <m/>
    <m/>
    <m/>
    <m/>
    <m/>
    <m/>
    <m/>
    <m/>
    <m/>
    <m/>
    <m/>
    <m/>
    <m/>
    <m/>
  </r>
  <r>
    <x v="0"/>
    <n v="19"/>
    <s v="NL"/>
    <x v="18"/>
    <s v="2012-2013"/>
    <x v="2"/>
    <n v="16396"/>
    <n v="7296"/>
    <n v="9100"/>
    <n v="71017"/>
    <n v="184"/>
    <n v="49"/>
    <n v="60"/>
    <n v="13599"/>
    <n v="256685.14683603484"/>
    <n v="9824"/>
    <n v="15337"/>
    <n v="3317"/>
    <m/>
    <m/>
    <n v="6548"/>
    <n v="3069"/>
    <n v="2744"/>
    <n v="2658"/>
    <n v="16396"/>
    <n v="163658445"/>
    <n v="880"/>
    <n v="1827"/>
    <n v="57312"/>
    <n v="1562"/>
    <m/>
    <m/>
    <m/>
    <m/>
    <n v="847"/>
    <m/>
    <m/>
    <m/>
    <m/>
    <m/>
    <m/>
    <m/>
    <m/>
    <m/>
    <m/>
    <m/>
    <m/>
    <m/>
    <m/>
    <m/>
    <m/>
  </r>
  <r>
    <x v="1"/>
    <n v="20"/>
    <s v="OAX"/>
    <x v="19"/>
    <s v="2012-2013"/>
    <x v="2"/>
    <n v="6750"/>
    <n v="2691"/>
    <n v="4059"/>
    <n v="64635"/>
    <n v="108"/>
    <n v="12"/>
    <n v="32"/>
    <n v="5279"/>
    <n v="244700.14959654724"/>
    <n v="3569"/>
    <n v="6489"/>
    <n v="1288"/>
    <m/>
    <m/>
    <n v="2520"/>
    <n v="1152"/>
    <n v="1231"/>
    <n v="1041"/>
    <m/>
    <m/>
    <n v="405"/>
    <n v="460"/>
    <n v="2163"/>
    <n v="10"/>
    <m/>
    <m/>
    <m/>
    <m/>
    <m/>
    <m/>
    <m/>
    <m/>
    <m/>
    <m/>
    <m/>
    <m/>
    <m/>
    <m/>
    <m/>
    <m/>
    <m/>
    <m/>
    <m/>
    <m/>
    <m/>
  </r>
  <r>
    <x v="0"/>
    <n v="21"/>
    <s v="PUE"/>
    <x v="20"/>
    <s v="2012-2013"/>
    <x v="2"/>
    <n v="7539"/>
    <n v="2816"/>
    <n v="4723"/>
    <n v="98190"/>
    <n v="144"/>
    <n v="39"/>
    <n v="55"/>
    <n v="6383"/>
    <n v="368172.44746360031"/>
    <n v="4459"/>
    <n v="7684"/>
    <n v="1841"/>
    <m/>
    <m/>
    <n v="3020"/>
    <n v="1621"/>
    <n v="1588"/>
    <n v="1530"/>
    <n v="7539"/>
    <n v="117736744"/>
    <n v="411"/>
    <n v="1035"/>
    <n v="9486"/>
    <n v="37"/>
    <m/>
    <m/>
    <m/>
    <m/>
    <m/>
    <m/>
    <m/>
    <m/>
    <m/>
    <m/>
    <m/>
    <m/>
    <m/>
    <m/>
    <m/>
    <m/>
    <m/>
    <m/>
    <m/>
    <m/>
    <m/>
  </r>
  <r>
    <x v="0"/>
    <n v="22"/>
    <s v="QRO"/>
    <x v="21"/>
    <s v="2012-2013"/>
    <x v="2"/>
    <n v="3014"/>
    <n v="1219"/>
    <n v="1795"/>
    <n v="28090"/>
    <n v="44"/>
    <n v="9"/>
    <n v="21"/>
    <n v="2530"/>
    <n v="113259.35666997568"/>
    <n v="2367"/>
    <n v="2914"/>
    <n v="682"/>
    <m/>
    <m/>
    <n v="1063"/>
    <n v="606"/>
    <n v="674"/>
    <n v="626"/>
    <n v="3014"/>
    <n v="36057782"/>
    <n v="235"/>
    <n v="283"/>
    <n v="6562"/>
    <n v="83"/>
    <m/>
    <m/>
    <m/>
    <m/>
    <m/>
    <m/>
    <m/>
    <m/>
    <m/>
    <m/>
    <m/>
    <m/>
    <m/>
    <m/>
    <m/>
    <m/>
    <m/>
    <m/>
    <m/>
    <m/>
    <m/>
  </r>
  <r>
    <x v="0"/>
    <n v="23"/>
    <s v="QROO"/>
    <x v="22"/>
    <s v="2012-2013"/>
    <x v="2"/>
    <n v="8685"/>
    <n v="3687"/>
    <n v="4998"/>
    <n v="22070"/>
    <n v="104"/>
    <n v="16"/>
    <n v="29"/>
    <n v="6630"/>
    <n v="79915.394881891494"/>
    <n v="4757"/>
    <n v="8310"/>
    <n v="2143"/>
    <m/>
    <m/>
    <n v="3615"/>
    <n v="1943"/>
    <n v="1543"/>
    <n v="1453"/>
    <n v="8685"/>
    <n v="79228139"/>
    <n v="424"/>
    <n v="704"/>
    <n v="12321"/>
    <n v="16"/>
    <m/>
    <m/>
    <m/>
    <m/>
    <m/>
    <m/>
    <m/>
    <m/>
    <m/>
    <m/>
    <m/>
    <m/>
    <m/>
    <m/>
    <m/>
    <m/>
    <m/>
    <m/>
    <m/>
    <m/>
    <m/>
  </r>
  <r>
    <x v="0"/>
    <n v="24"/>
    <s v="SLP"/>
    <x v="23"/>
    <s v="2012-2013"/>
    <x v="2"/>
    <n v="5478"/>
    <n v="2196"/>
    <n v="3282"/>
    <n v="44949"/>
    <n v="84"/>
    <n v="24"/>
    <n v="28"/>
    <n v="4489"/>
    <n v="162721.95294879421"/>
    <n v="2938"/>
    <n v="5457"/>
    <n v="1063"/>
    <m/>
    <m/>
    <n v="2168"/>
    <n v="951"/>
    <n v="882"/>
    <n v="826"/>
    <n v="5478"/>
    <n v="68158288"/>
    <n v="341"/>
    <n v="445"/>
    <n v="10960"/>
    <n v="170"/>
    <m/>
    <m/>
    <m/>
    <m/>
    <m/>
    <m/>
    <m/>
    <m/>
    <m/>
    <m/>
    <m/>
    <m/>
    <m/>
    <m/>
    <m/>
    <m/>
    <m/>
    <m/>
    <m/>
    <m/>
    <m/>
  </r>
  <r>
    <x v="0"/>
    <n v="25"/>
    <s v="SIN"/>
    <x v="24"/>
    <s v="2012-2013"/>
    <x v="2"/>
    <n v="9564"/>
    <n v="3935"/>
    <n v="5629"/>
    <n v="45264"/>
    <n v="171"/>
    <n v="40"/>
    <n v="44"/>
    <n v="8117"/>
    <n v="166975.11134791601"/>
    <n v="4827"/>
    <n v="9080"/>
    <n v="2190"/>
    <m/>
    <m/>
    <n v="3176"/>
    <n v="2090"/>
    <n v="2057"/>
    <n v="2052"/>
    <n v="9564"/>
    <n v="173106212"/>
    <n v="590"/>
    <n v="957"/>
    <n v="11683"/>
    <n v="93"/>
    <m/>
    <m/>
    <m/>
    <m/>
    <m/>
    <m/>
    <m/>
    <m/>
    <m/>
    <m/>
    <m/>
    <m/>
    <m/>
    <m/>
    <m/>
    <m/>
    <m/>
    <m/>
    <m/>
    <m/>
    <m/>
  </r>
  <r>
    <x v="0"/>
    <n v="26"/>
    <s v="SON"/>
    <x v="25"/>
    <s v="2012-2013"/>
    <x v="2"/>
    <n v="12561"/>
    <n v="5124"/>
    <n v="7437"/>
    <n v="42230"/>
    <n v="223"/>
    <n v="45"/>
    <n v="60"/>
    <n v="10479"/>
    <n v="156315.86238266551"/>
    <n v="5531"/>
    <n v="13196"/>
    <n v="2333"/>
    <m/>
    <m/>
    <n v="5253"/>
    <n v="2121"/>
    <n v="2103"/>
    <n v="1881"/>
    <n v="12561"/>
    <n v="177838898"/>
    <n v="42"/>
    <n v="961"/>
    <n v="15470"/>
    <n v="101"/>
    <m/>
    <m/>
    <m/>
    <m/>
    <m/>
    <m/>
    <m/>
    <m/>
    <m/>
    <m/>
    <m/>
    <m/>
    <m/>
    <m/>
    <m/>
    <m/>
    <m/>
    <m/>
    <m/>
    <m/>
    <m/>
  </r>
  <r>
    <x v="0"/>
    <n v="27"/>
    <s v="TAB"/>
    <x v="26"/>
    <s v="2012-2013"/>
    <x v="2"/>
    <n v="5305"/>
    <n v="2213"/>
    <n v="3092"/>
    <n v="36810"/>
    <n v="76"/>
    <n v="24"/>
    <n v="26"/>
    <n v="4446"/>
    <n v="135006.4916160994"/>
    <n v="2330"/>
    <n v="5040"/>
    <n v="1220"/>
    <m/>
    <m/>
    <n v="2186"/>
    <n v="1080"/>
    <n v="1149"/>
    <n v="1121"/>
    <n v="5305"/>
    <n v="89213480"/>
    <n v="304"/>
    <n v="388"/>
    <n v="4008"/>
    <n v="0"/>
    <m/>
    <m/>
    <m/>
    <m/>
    <m/>
    <m/>
    <m/>
    <m/>
    <m/>
    <m/>
    <m/>
    <m/>
    <m/>
    <m/>
    <m/>
    <m/>
    <m/>
    <m/>
    <m/>
    <m/>
    <m/>
  </r>
  <r>
    <x v="0"/>
    <n v="28"/>
    <s v="TAMPS"/>
    <x v="27"/>
    <s v="2012-2013"/>
    <x v="2"/>
    <n v="8923"/>
    <n v="4147"/>
    <n v="4776"/>
    <n v="46139"/>
    <n v="140"/>
    <n v="25"/>
    <n v="47"/>
    <n v="7462"/>
    <n v="184782.07158093911"/>
    <n v="4907"/>
    <n v="8177"/>
    <n v="1926"/>
    <m/>
    <m/>
    <n v="3579"/>
    <n v="1817"/>
    <n v="1747"/>
    <n v="1715"/>
    <n v="8923"/>
    <n v="137343621"/>
    <n v="412"/>
    <n v="958"/>
    <n v="20257"/>
    <n v="622"/>
    <m/>
    <m/>
    <m/>
    <m/>
    <n v="15"/>
    <m/>
    <m/>
    <m/>
    <m/>
    <m/>
    <m/>
    <m/>
    <m/>
    <m/>
    <m/>
    <m/>
    <m/>
    <m/>
    <m/>
    <m/>
    <m/>
  </r>
  <r>
    <x v="0"/>
    <n v="29"/>
    <s v="TLAX"/>
    <x v="28"/>
    <s v="2012-2013"/>
    <x v="2"/>
    <n v="3109"/>
    <n v="1332"/>
    <n v="1777"/>
    <n v="23065"/>
    <n v="42"/>
    <n v="12"/>
    <n v="16"/>
    <n v="2569"/>
    <n v="72843.924734240776"/>
    <n v="1638"/>
    <n v="2587"/>
    <n v="621"/>
    <m/>
    <m/>
    <n v="985"/>
    <n v="571"/>
    <n v="573"/>
    <n v="569"/>
    <n v="3109"/>
    <n v="33240372"/>
    <n v="205"/>
    <n v="401"/>
    <n v="2039"/>
    <n v="7"/>
    <m/>
    <m/>
    <m/>
    <m/>
    <m/>
    <m/>
    <m/>
    <m/>
    <m/>
    <m/>
    <m/>
    <m/>
    <m/>
    <m/>
    <m/>
    <m/>
    <m/>
    <m/>
    <m/>
    <m/>
    <m/>
  </r>
  <r>
    <x v="0"/>
    <n v="30"/>
    <s v="VER"/>
    <x v="29"/>
    <s v="2012-2013"/>
    <x v="2"/>
    <n v="9255"/>
    <n v="3711"/>
    <n v="5544"/>
    <n v="119985"/>
    <n v="164"/>
    <n v="39"/>
    <n v="83"/>
    <n v="7867"/>
    <n v="459028.2415179275"/>
    <n v="5514"/>
    <n v="9257"/>
    <n v="2375"/>
    <m/>
    <m/>
    <n v="3772"/>
    <n v="2128"/>
    <n v="2317"/>
    <n v="2202"/>
    <n v="9255"/>
    <n v="177451974"/>
    <n v="589"/>
    <n v="1350"/>
    <n v="14349"/>
    <n v="280"/>
    <m/>
    <m/>
    <m/>
    <m/>
    <n v="552"/>
    <m/>
    <m/>
    <m/>
    <m/>
    <m/>
    <m/>
    <m/>
    <m/>
    <m/>
    <m/>
    <m/>
    <m/>
    <m/>
    <m/>
    <m/>
    <m/>
  </r>
  <r>
    <x v="0"/>
    <n v="31"/>
    <s v="YUC"/>
    <x v="30"/>
    <s v="2012-2013"/>
    <x v="2"/>
    <n v="4409"/>
    <n v="1708"/>
    <n v="2701"/>
    <n v="29066"/>
    <n v="56"/>
    <n v="10"/>
    <n v="16"/>
    <n v="3300"/>
    <n v="113961.53601094714"/>
    <n v="2684"/>
    <n v="4693"/>
    <n v="843"/>
    <m/>
    <m/>
    <n v="1718"/>
    <n v="774"/>
    <n v="871"/>
    <n v="770"/>
    <n v="4409"/>
    <n v="77263516"/>
    <n v="275"/>
    <n v="367"/>
    <n v="7244"/>
    <n v="183"/>
    <m/>
    <m/>
    <m/>
    <m/>
    <m/>
    <m/>
    <m/>
    <m/>
    <m/>
    <m/>
    <m/>
    <m/>
    <m/>
    <m/>
    <m/>
    <m/>
    <m/>
    <m/>
    <m/>
    <m/>
    <m/>
  </r>
  <r>
    <x v="0"/>
    <n v="32"/>
    <s v="ZAC"/>
    <x v="31"/>
    <s v="2012-2013"/>
    <x v="2"/>
    <n v="1722"/>
    <n v="767"/>
    <n v="955"/>
    <n v="23608"/>
    <n v="37"/>
    <n v="13"/>
    <n v="6"/>
    <n v="1325"/>
    <n v="91820.373265537899"/>
    <n v="934"/>
    <n v="1588"/>
    <n v="323"/>
    <m/>
    <m/>
    <n v="806"/>
    <n v="288"/>
    <n v="214"/>
    <n v="201"/>
    <n v="1722"/>
    <n v="32108696"/>
    <n v="95"/>
    <n v="155"/>
    <n v="2900"/>
    <n v="70"/>
    <m/>
    <m/>
    <m/>
    <m/>
    <m/>
    <m/>
    <m/>
    <m/>
    <m/>
    <m/>
    <m/>
    <m/>
    <m/>
    <m/>
    <m/>
    <m/>
    <m/>
    <m/>
    <m/>
    <m/>
    <m/>
  </r>
  <r>
    <x v="2"/>
    <n v="33"/>
    <s v="OTRO"/>
    <x v="32"/>
    <s v="2012-2013"/>
    <x v="2"/>
    <m/>
    <m/>
    <m/>
    <m/>
    <m/>
    <m/>
    <m/>
    <m/>
    <m/>
    <m/>
    <m/>
    <m/>
    <m/>
    <m/>
    <m/>
    <m/>
    <m/>
    <m/>
    <m/>
    <m/>
    <m/>
    <m/>
    <m/>
    <m/>
    <m/>
    <m/>
    <m/>
    <m/>
    <m/>
    <m/>
    <m/>
    <m/>
    <m/>
    <m/>
    <m/>
    <m/>
    <m/>
    <m/>
    <m/>
    <m/>
    <m/>
    <m/>
    <m/>
    <m/>
    <m/>
  </r>
  <r>
    <x v="1"/>
    <n v="0"/>
    <s v="ON"/>
    <x v="33"/>
    <s v="2012-2013"/>
    <x v="2"/>
    <m/>
    <m/>
    <m/>
    <m/>
    <m/>
    <m/>
    <m/>
    <m/>
    <m/>
    <m/>
    <m/>
    <m/>
    <m/>
    <m/>
    <m/>
    <m/>
    <m/>
    <m/>
    <m/>
    <m/>
    <m/>
    <m/>
    <m/>
    <m/>
    <m/>
    <m/>
    <m/>
    <m/>
    <m/>
    <n v="256402"/>
    <n v="1450045"/>
    <n v="1450045"/>
    <n v="1457806"/>
    <n v="1336007"/>
    <n v="1336007"/>
    <n v="1334976.8"/>
    <n v="1339687.2"/>
    <n v="115068.5"/>
    <n v="118119"/>
    <n v="114038"/>
    <n v="1450045.3"/>
    <n v="113831"/>
    <n v="121799"/>
    <n v="1450045"/>
    <n v="1457806"/>
  </r>
  <r>
    <x v="0"/>
    <n v="1"/>
    <s v="AGS"/>
    <x v="0"/>
    <s v="2013-2014"/>
    <x v="3"/>
    <n v="4724"/>
    <n v="1749"/>
    <n v="2975"/>
    <n v="22184"/>
    <n v="84"/>
    <n v="13"/>
    <n v="19"/>
    <n v="3957"/>
    <n v="75231.71103324533"/>
    <n v="3860"/>
    <n v="4876"/>
    <n v="1235"/>
    <m/>
    <m/>
    <n v="1791"/>
    <n v="1076"/>
    <n v="963"/>
    <n v="848"/>
    <n v="4724"/>
    <n v="53064138"/>
    <n v="285"/>
    <n v="441"/>
    <n v="5889"/>
    <n v="545"/>
    <m/>
    <m/>
    <m/>
    <n v="327"/>
    <m/>
    <m/>
    <m/>
    <m/>
    <m/>
    <m/>
    <m/>
    <m/>
    <m/>
    <m/>
    <m/>
    <m/>
    <m/>
    <m/>
    <m/>
    <m/>
    <m/>
  </r>
  <r>
    <x v="0"/>
    <n v="2"/>
    <s v="BC"/>
    <x v="1"/>
    <s v="2013-2014"/>
    <x v="3"/>
    <n v="7923"/>
    <n v="3120"/>
    <n v="4803"/>
    <n v="50847"/>
    <n v="118"/>
    <n v="16"/>
    <n v="25"/>
    <n v="6510"/>
    <n v="192570.33030696079"/>
    <n v="3981"/>
    <n v="8368"/>
    <n v="1836"/>
    <m/>
    <m/>
    <n v="3518"/>
    <n v="1654"/>
    <n v="1526"/>
    <n v="1480"/>
    <n v="7923"/>
    <n v="113761602"/>
    <n v="394"/>
    <n v="714"/>
    <n v="11950"/>
    <n v="183"/>
    <m/>
    <m/>
    <m/>
    <n v="0"/>
    <n v="1693"/>
    <m/>
    <m/>
    <m/>
    <m/>
    <m/>
    <m/>
    <m/>
    <m/>
    <m/>
    <m/>
    <m/>
    <m/>
    <m/>
    <m/>
    <m/>
    <m/>
  </r>
  <r>
    <x v="0"/>
    <n v="3"/>
    <s v="BCS"/>
    <x v="2"/>
    <s v="2013-2014"/>
    <x v="3"/>
    <n v="2058"/>
    <n v="884"/>
    <n v="1174"/>
    <n v="10507"/>
    <n v="29"/>
    <n v="7"/>
    <n v="2"/>
    <n v="1587"/>
    <n v="38630.89366289071"/>
    <n v="1399"/>
    <n v="1902"/>
    <n v="411"/>
    <m/>
    <m/>
    <n v="724"/>
    <n v="366"/>
    <n v="420"/>
    <n v="394"/>
    <n v="2058"/>
    <n v="28483347"/>
    <n v="105"/>
    <n v="203"/>
    <n v="2477"/>
    <n v="258"/>
    <m/>
    <m/>
    <m/>
    <n v="0"/>
    <m/>
    <m/>
    <m/>
    <m/>
    <m/>
    <m/>
    <m/>
    <m/>
    <m/>
    <m/>
    <m/>
    <m/>
    <m/>
    <m/>
    <m/>
    <m/>
    <m/>
  </r>
  <r>
    <x v="0"/>
    <n v="4"/>
    <s v="CAMP"/>
    <x v="3"/>
    <s v="2013-2014"/>
    <x v="3"/>
    <n v="1930"/>
    <n v="799"/>
    <n v="1131"/>
    <n v="12284"/>
    <n v="36"/>
    <n v="8"/>
    <n v="16"/>
    <n v="1376"/>
    <n v="49606.327829282833"/>
    <n v="958"/>
    <n v="1864"/>
    <n v="375"/>
    <m/>
    <m/>
    <n v="760"/>
    <n v="347"/>
    <n v="274"/>
    <n v="266"/>
    <n v="1930"/>
    <n v="34103141"/>
    <n v="107"/>
    <n v="280"/>
    <n v="2177"/>
    <n v="750"/>
    <m/>
    <m/>
    <m/>
    <n v="625"/>
    <m/>
    <m/>
    <m/>
    <m/>
    <m/>
    <m/>
    <m/>
    <m/>
    <m/>
    <m/>
    <m/>
    <m/>
    <m/>
    <m/>
    <m/>
    <m/>
    <m/>
  </r>
  <r>
    <x v="0"/>
    <n v="7"/>
    <s v="CHIAP"/>
    <x v="4"/>
    <s v="2013-2014"/>
    <x v="3"/>
    <n v="7916"/>
    <n v="3054"/>
    <n v="4862"/>
    <n v="85235"/>
    <n v="143"/>
    <n v="21"/>
    <n v="42"/>
    <n v="5924"/>
    <n v="339210.95663831854"/>
    <n v="4091"/>
    <n v="7730"/>
    <n v="1854"/>
    <m/>
    <m/>
    <n v="3009"/>
    <n v="1710"/>
    <n v="1305"/>
    <n v="1212"/>
    <n v="7916"/>
    <n v="132254276"/>
    <n v="445"/>
    <n v="558"/>
    <n v="5222"/>
    <n v="13"/>
    <m/>
    <m/>
    <m/>
    <n v="256"/>
    <m/>
    <m/>
    <m/>
    <m/>
    <m/>
    <m/>
    <m/>
    <m/>
    <m/>
    <m/>
    <m/>
    <m/>
    <m/>
    <m/>
    <m/>
    <m/>
    <m/>
  </r>
  <r>
    <x v="0"/>
    <n v="8"/>
    <s v="CHIH"/>
    <x v="5"/>
    <s v="2013-2014"/>
    <x v="3"/>
    <n v="9072"/>
    <n v="3670"/>
    <n v="5402"/>
    <n v="53834"/>
    <n v="143"/>
    <n v="26"/>
    <n v="40"/>
    <n v="7458"/>
    <n v="201420.28859328708"/>
    <n v="4392"/>
    <n v="9183"/>
    <n v="1832"/>
    <m/>
    <m/>
    <n v="3668"/>
    <n v="1658"/>
    <n v="1499"/>
    <n v="1450"/>
    <n v="9072"/>
    <n v="126336677"/>
    <n v="604"/>
    <n v="856"/>
    <n v="11054"/>
    <n v="2633"/>
    <m/>
    <m/>
    <m/>
    <n v="4469"/>
    <n v="962"/>
    <m/>
    <m/>
    <m/>
    <m/>
    <m/>
    <m/>
    <m/>
    <m/>
    <m/>
    <m/>
    <m/>
    <m/>
    <m/>
    <m/>
    <m/>
    <m/>
  </r>
  <r>
    <x v="1"/>
    <n v="9"/>
    <s v="CDMX"/>
    <x v="6"/>
    <s v="2013-2014"/>
    <x v="3"/>
    <n v="42808"/>
    <n v="17832"/>
    <n v="24976"/>
    <n v="128608"/>
    <n v="545"/>
    <n v="91"/>
    <n v="164"/>
    <n v="31960"/>
    <n v="416841.07252891117"/>
    <n v="22668"/>
    <n v="43673"/>
    <n v="9190"/>
    <m/>
    <m/>
    <n v="20540"/>
    <n v="7987"/>
    <n v="7474"/>
    <n v="4963"/>
    <m/>
    <m/>
    <n v="2120"/>
    <n v="3101"/>
    <n v="20448"/>
    <n v="2193"/>
    <m/>
    <m/>
    <m/>
    <n v="1443"/>
    <m/>
    <m/>
    <m/>
    <m/>
    <m/>
    <m/>
    <m/>
    <m/>
    <m/>
    <m/>
    <m/>
    <m/>
    <m/>
    <m/>
    <m/>
    <m/>
    <m/>
  </r>
  <r>
    <x v="0"/>
    <n v="5"/>
    <s v="COAH"/>
    <x v="7"/>
    <s v="2013-2014"/>
    <x v="3"/>
    <n v="7891"/>
    <n v="3155"/>
    <n v="4736"/>
    <n v="43223"/>
    <n v="132"/>
    <n v="31"/>
    <n v="42"/>
    <n v="7051"/>
    <n v="163236.43417178339"/>
    <n v="4144"/>
    <n v="8071"/>
    <n v="1943"/>
    <m/>
    <m/>
    <n v="3257"/>
    <n v="1767"/>
    <n v="1594"/>
    <n v="1593"/>
    <n v="7891"/>
    <n v="124076457"/>
    <n v="426"/>
    <n v="943"/>
    <n v="12186"/>
    <n v="1121"/>
    <m/>
    <m/>
    <m/>
    <n v="1346"/>
    <m/>
    <m/>
    <m/>
    <m/>
    <m/>
    <m/>
    <m/>
    <m/>
    <m/>
    <m/>
    <m/>
    <m/>
    <m/>
    <m/>
    <m/>
    <m/>
    <m/>
  </r>
  <r>
    <x v="0"/>
    <n v="6"/>
    <s v="COL"/>
    <x v="8"/>
    <s v="2013-2014"/>
    <x v="3"/>
    <n v="1883"/>
    <n v="813"/>
    <n v="1070"/>
    <n v="8912"/>
    <n v="41"/>
    <n v="6"/>
    <n v="10"/>
    <n v="1151"/>
    <n v="37630.754876559426"/>
    <n v="948"/>
    <n v="1864"/>
    <n v="362"/>
    <m/>
    <m/>
    <n v="778"/>
    <n v="311"/>
    <n v="299"/>
    <n v="282"/>
    <n v="1883"/>
    <n v="34433440"/>
    <n v="122"/>
    <n v="289"/>
    <n v="3260"/>
    <n v="278"/>
    <m/>
    <m/>
    <m/>
    <n v="2"/>
    <m/>
    <m/>
    <m/>
    <m/>
    <m/>
    <m/>
    <m/>
    <m/>
    <m/>
    <m/>
    <m/>
    <m/>
    <m/>
    <m/>
    <m/>
    <m/>
    <m/>
  </r>
  <r>
    <x v="0"/>
    <n v="10"/>
    <s v="DGO"/>
    <x v="9"/>
    <s v="2013-2014"/>
    <x v="3"/>
    <n v="2413"/>
    <n v="1022"/>
    <n v="1391"/>
    <n v="28121"/>
    <n v="45"/>
    <n v="13"/>
    <n v="11"/>
    <n v="2057"/>
    <n v="104245.78939787953"/>
    <n v="1204"/>
    <n v="2386"/>
    <n v="447"/>
    <m/>
    <m/>
    <n v="1008"/>
    <n v="388"/>
    <n v="389"/>
    <n v="305"/>
    <n v="2413"/>
    <n v="33640421"/>
    <n v="165"/>
    <n v="245"/>
    <n v="7093"/>
    <n v="318"/>
    <m/>
    <m/>
    <m/>
    <n v="512"/>
    <m/>
    <m/>
    <m/>
    <m/>
    <m/>
    <m/>
    <m/>
    <m/>
    <m/>
    <m/>
    <m/>
    <m/>
    <m/>
    <m/>
    <m/>
    <m/>
    <m/>
  </r>
  <r>
    <x v="0"/>
    <n v="11"/>
    <s v="GTO"/>
    <x v="10"/>
    <s v="2013-2014"/>
    <x v="3"/>
    <n v="18280"/>
    <n v="8079"/>
    <n v="10201"/>
    <n v="92929"/>
    <n v="254"/>
    <n v="60"/>
    <n v="81"/>
    <n v="15586"/>
    <n v="350709.29111595784"/>
    <n v="12334"/>
    <n v="16619"/>
    <n v="4270"/>
    <m/>
    <m/>
    <n v="6317"/>
    <n v="3989"/>
    <n v="3531"/>
    <n v="3297"/>
    <n v="18280"/>
    <n v="202301884"/>
    <n v="917"/>
    <n v="1986"/>
    <n v="22717"/>
    <n v="2129"/>
    <m/>
    <m/>
    <m/>
    <n v="599"/>
    <n v="8974"/>
    <m/>
    <m/>
    <m/>
    <m/>
    <m/>
    <m/>
    <m/>
    <m/>
    <m/>
    <m/>
    <m/>
    <m/>
    <m/>
    <m/>
    <m/>
    <m/>
  </r>
  <r>
    <x v="0"/>
    <n v="12"/>
    <s v="GRO"/>
    <x v="11"/>
    <s v="2013-2014"/>
    <x v="3"/>
    <n v="6996"/>
    <n v="2731"/>
    <n v="4265"/>
    <n v="57748"/>
    <n v="118"/>
    <n v="25"/>
    <n v="39"/>
    <n v="5628"/>
    <n v="229444.85510118637"/>
    <n v="3569"/>
    <n v="7047"/>
    <n v="1624"/>
    <m/>
    <m/>
    <n v="3069"/>
    <n v="1531"/>
    <n v="1318"/>
    <n v="1020"/>
    <n v="6996"/>
    <n v="110429628"/>
    <n v="327"/>
    <n v="608"/>
    <n v="4631"/>
    <n v="1238"/>
    <m/>
    <m/>
    <m/>
    <n v="1886"/>
    <m/>
    <m/>
    <m/>
    <m/>
    <m/>
    <m/>
    <m/>
    <m/>
    <m/>
    <m/>
    <m/>
    <m/>
    <m/>
    <m/>
    <m/>
    <m/>
    <m/>
  </r>
  <r>
    <x v="0"/>
    <n v="13"/>
    <s v="HGO"/>
    <x v="12"/>
    <s v="2013-2014"/>
    <x v="3"/>
    <n v="3924"/>
    <n v="1716"/>
    <n v="2208"/>
    <n v="48232"/>
    <n v="65"/>
    <n v="27"/>
    <n v="26"/>
    <n v="3007"/>
    <n v="160236.09623416909"/>
    <n v="2104"/>
    <n v="3690"/>
    <n v="794"/>
    <m/>
    <m/>
    <n v="1445"/>
    <n v="696"/>
    <n v="719"/>
    <n v="715"/>
    <n v="3924"/>
    <n v="52946557"/>
    <n v="222"/>
    <n v="404"/>
    <n v="2670"/>
    <n v="247"/>
    <m/>
    <m/>
    <m/>
    <n v="207"/>
    <m/>
    <m/>
    <m/>
    <m/>
    <m/>
    <m/>
    <m/>
    <m/>
    <m/>
    <m/>
    <m/>
    <m/>
    <m/>
    <m/>
    <m/>
    <m/>
    <m/>
  </r>
  <r>
    <x v="0"/>
    <n v="14"/>
    <s v="JAL"/>
    <x v="13"/>
    <s v="2013-2014"/>
    <x v="3"/>
    <n v="14705"/>
    <n v="5644"/>
    <n v="9061"/>
    <n v="110165"/>
    <n v="255"/>
    <n v="32"/>
    <n v="75"/>
    <n v="11660"/>
    <n v="435539.89541535149"/>
    <n v="7428"/>
    <n v="15407"/>
    <n v="3549"/>
    <m/>
    <m/>
    <n v="6042"/>
    <n v="3118"/>
    <n v="2939"/>
    <n v="2839"/>
    <n v="14705"/>
    <n v="214696273"/>
    <n v="879"/>
    <n v="2076"/>
    <n v="23920"/>
    <n v="2393"/>
    <m/>
    <m/>
    <m/>
    <n v="35"/>
    <n v="427"/>
    <m/>
    <m/>
    <m/>
    <m/>
    <m/>
    <m/>
    <m/>
    <m/>
    <m/>
    <m/>
    <m/>
    <m/>
    <m/>
    <m/>
    <m/>
    <m/>
  </r>
  <r>
    <x v="0"/>
    <n v="15"/>
    <s v="MEX"/>
    <x v="14"/>
    <s v="2013-2014"/>
    <x v="3"/>
    <n v="47473"/>
    <n v="19346"/>
    <n v="28127"/>
    <n v="246038"/>
    <n v="737"/>
    <n v="137"/>
    <n v="223"/>
    <n v="36796"/>
    <n v="909426.38239890151"/>
    <n v="23555"/>
    <n v="48217"/>
    <n v="10598"/>
    <m/>
    <m/>
    <n v="22526"/>
    <n v="9041"/>
    <n v="9088"/>
    <n v="7283"/>
    <n v="47473"/>
    <n v="623639878"/>
    <n v="2508"/>
    <n v="4063"/>
    <n v="36420"/>
    <n v="4072"/>
    <m/>
    <m/>
    <m/>
    <n v="5395"/>
    <n v="582"/>
    <m/>
    <m/>
    <m/>
    <m/>
    <m/>
    <m/>
    <m/>
    <m/>
    <m/>
    <m/>
    <m/>
    <m/>
    <m/>
    <m/>
    <m/>
    <m/>
  </r>
  <r>
    <x v="0"/>
    <n v="16"/>
    <s v="MICH"/>
    <x v="15"/>
    <s v="2013-2014"/>
    <x v="3"/>
    <n v="11807"/>
    <n v="4749"/>
    <n v="7058"/>
    <n v="62745"/>
    <n v="226"/>
    <n v="41"/>
    <n v="63"/>
    <n v="8818"/>
    <n v="268149.49620750209"/>
    <n v="5920"/>
    <n v="12293"/>
    <n v="2966"/>
    <m/>
    <m/>
    <n v="5668"/>
    <n v="2525"/>
    <n v="2285"/>
    <n v="2083"/>
    <n v="11807"/>
    <n v="171064724"/>
    <n v="490"/>
    <n v="1056"/>
    <n v="6714"/>
    <n v="713"/>
    <m/>
    <m/>
    <m/>
    <n v="0"/>
    <m/>
    <m/>
    <m/>
    <m/>
    <m/>
    <m/>
    <m/>
    <m/>
    <m/>
    <m/>
    <m/>
    <m/>
    <m/>
    <m/>
    <m/>
    <m/>
    <m/>
  </r>
  <r>
    <x v="0"/>
    <n v="17"/>
    <s v="MOR"/>
    <x v="16"/>
    <s v="2013-2014"/>
    <x v="3"/>
    <n v="4693"/>
    <n v="1832"/>
    <n v="2861"/>
    <n v="29652"/>
    <n v="59"/>
    <n v="20"/>
    <n v="12"/>
    <n v="4044"/>
    <n v="103844.39817265478"/>
    <n v="2048"/>
    <n v="5012"/>
    <n v="1353"/>
    <m/>
    <m/>
    <n v="2231"/>
    <n v="1292"/>
    <n v="1059"/>
    <n v="973"/>
    <n v="4693"/>
    <n v="58251157"/>
    <n v="246"/>
    <n v="563"/>
    <n v="4512"/>
    <n v="648"/>
    <m/>
    <m/>
    <m/>
    <n v="2011"/>
    <m/>
    <m/>
    <m/>
    <m/>
    <m/>
    <m/>
    <m/>
    <m/>
    <m/>
    <m/>
    <m/>
    <m/>
    <m/>
    <m/>
    <m/>
    <m/>
    <m/>
  </r>
  <r>
    <x v="0"/>
    <n v="18"/>
    <s v="NAY"/>
    <x v="17"/>
    <s v="2013-2014"/>
    <x v="3"/>
    <n v="3037"/>
    <n v="1236"/>
    <n v="1801"/>
    <n v="18277"/>
    <n v="54"/>
    <n v="8"/>
    <n v="9"/>
    <n v="2723"/>
    <n v="65290.161300975204"/>
    <n v="1589"/>
    <n v="3043"/>
    <n v="684"/>
    <m/>
    <m/>
    <n v="1318"/>
    <n v="653"/>
    <n v="692"/>
    <n v="677"/>
    <n v="3037"/>
    <n v="43499898"/>
    <n v="120"/>
    <n v="418"/>
    <n v="1860"/>
    <n v="130"/>
    <m/>
    <m/>
    <m/>
    <n v="92"/>
    <m/>
    <m/>
    <m/>
    <m/>
    <m/>
    <m/>
    <m/>
    <m/>
    <m/>
    <m/>
    <m/>
    <m/>
    <m/>
    <m/>
    <m/>
    <m/>
    <m/>
  </r>
  <r>
    <x v="0"/>
    <n v="19"/>
    <s v="NL"/>
    <x v="18"/>
    <s v="2013-2014"/>
    <x v="3"/>
    <n v="17191"/>
    <n v="7514"/>
    <n v="9677"/>
    <n v="75177"/>
    <n v="250"/>
    <n v="52"/>
    <n v="80"/>
    <n v="14351"/>
    <n v="258644.31615898266"/>
    <n v="10674"/>
    <n v="16396"/>
    <n v="3499"/>
    <m/>
    <m/>
    <n v="6451"/>
    <n v="3199"/>
    <n v="3069"/>
    <n v="2967"/>
    <n v="17191"/>
    <n v="181234995"/>
    <n v="891"/>
    <n v="1703"/>
    <n v="44762"/>
    <n v="4064"/>
    <m/>
    <m/>
    <m/>
    <n v="37828"/>
    <n v="617"/>
    <m/>
    <m/>
    <m/>
    <m/>
    <m/>
    <m/>
    <m/>
    <m/>
    <m/>
    <m/>
    <m/>
    <m/>
    <m/>
    <m/>
    <m/>
    <m/>
  </r>
  <r>
    <x v="1"/>
    <n v="20"/>
    <s v="OAX"/>
    <x v="19"/>
    <s v="2013-2014"/>
    <x v="3"/>
    <n v="6603"/>
    <n v="2396"/>
    <n v="4207"/>
    <n v="63618"/>
    <n v="106"/>
    <n v="8"/>
    <n v="32"/>
    <n v="5119"/>
    <n v="244037.21660395796"/>
    <n v="3072"/>
    <n v="6750"/>
    <n v="1293"/>
    <m/>
    <m/>
    <n v="2468"/>
    <n v="1194"/>
    <n v="1152"/>
    <n v="891"/>
    <m/>
    <m/>
    <n v="382"/>
    <n v="420"/>
    <n v="2817"/>
    <n v="65"/>
    <m/>
    <m/>
    <m/>
    <n v="462"/>
    <m/>
    <m/>
    <m/>
    <m/>
    <m/>
    <m/>
    <m/>
    <m/>
    <m/>
    <m/>
    <m/>
    <m/>
    <m/>
    <m/>
    <m/>
    <m/>
    <m/>
  </r>
  <r>
    <x v="0"/>
    <n v="21"/>
    <s v="PUE"/>
    <x v="20"/>
    <s v="2013-2014"/>
    <x v="3"/>
    <n v="7277"/>
    <n v="2813"/>
    <n v="4464"/>
    <n v="99239"/>
    <n v="141"/>
    <n v="37"/>
    <n v="56"/>
    <n v="6125"/>
    <n v="366372.62420574436"/>
    <n v="4136"/>
    <n v="7539"/>
    <n v="1934"/>
    <m/>
    <m/>
    <n v="3093"/>
    <n v="1760"/>
    <n v="1621"/>
    <n v="1546"/>
    <n v="7277"/>
    <n v="124199174"/>
    <n v="392"/>
    <n v="875"/>
    <n v="7054"/>
    <n v="567"/>
    <m/>
    <m/>
    <m/>
    <n v="5358"/>
    <m/>
    <m/>
    <m/>
    <m/>
    <m/>
    <m/>
    <m/>
    <m/>
    <m/>
    <m/>
    <m/>
    <m/>
    <m/>
    <m/>
    <m/>
    <m/>
    <m/>
  </r>
  <r>
    <x v="0"/>
    <n v="22"/>
    <s v="QRO"/>
    <x v="21"/>
    <s v="2013-2014"/>
    <x v="3"/>
    <n v="3224"/>
    <n v="1347"/>
    <n v="1877"/>
    <n v="28481"/>
    <n v="51"/>
    <n v="12"/>
    <n v="28"/>
    <n v="2742"/>
    <n v="113507.25317716529"/>
    <n v="2178"/>
    <n v="3014"/>
    <n v="748"/>
    <m/>
    <m/>
    <n v="1048"/>
    <n v="703"/>
    <n v="606"/>
    <n v="528"/>
    <n v="3224"/>
    <n v="38235173"/>
    <n v="243"/>
    <n v="354"/>
    <n v="4856"/>
    <n v="219"/>
    <m/>
    <m/>
    <m/>
    <n v="4"/>
    <m/>
    <m/>
    <m/>
    <m/>
    <m/>
    <m/>
    <m/>
    <m/>
    <m/>
    <m/>
    <m/>
    <m/>
    <m/>
    <m/>
    <m/>
    <m/>
    <m/>
  </r>
  <r>
    <x v="0"/>
    <n v="23"/>
    <s v="QROO"/>
    <x v="22"/>
    <s v="2013-2014"/>
    <x v="3"/>
    <n v="8835"/>
    <n v="3422"/>
    <n v="5413"/>
    <n v="20556"/>
    <n v="104"/>
    <n v="18"/>
    <n v="29"/>
    <n v="6863"/>
    <n v="80603.226862702431"/>
    <n v="3967"/>
    <n v="8685"/>
    <n v="2104"/>
    <m/>
    <m/>
    <n v="3302"/>
    <n v="1858"/>
    <n v="1943"/>
    <n v="1886"/>
    <n v="8835"/>
    <n v="83082049"/>
    <n v="409"/>
    <n v="854"/>
    <n v="8547"/>
    <n v="650"/>
    <m/>
    <m/>
    <m/>
    <n v="1653"/>
    <m/>
    <m/>
    <m/>
    <m/>
    <m/>
    <m/>
    <m/>
    <m/>
    <m/>
    <m/>
    <m/>
    <m/>
    <m/>
    <m/>
    <m/>
    <m/>
    <m/>
  </r>
  <r>
    <x v="0"/>
    <n v="24"/>
    <s v="SLP"/>
    <x v="23"/>
    <s v="2013-2014"/>
    <x v="3"/>
    <n v="5373"/>
    <n v="2113"/>
    <n v="3260"/>
    <n v="44201"/>
    <n v="84"/>
    <n v="24"/>
    <n v="28"/>
    <n v="4365"/>
    <n v="162591.23938538344"/>
    <n v="2513"/>
    <n v="5478"/>
    <n v="1182"/>
    <m/>
    <m/>
    <n v="2270"/>
    <n v="1099"/>
    <n v="951"/>
    <n v="886"/>
    <n v="5373"/>
    <n v="72691037"/>
    <n v="327"/>
    <n v="398"/>
    <n v="8025"/>
    <n v="711"/>
    <m/>
    <m/>
    <m/>
    <n v="903"/>
    <m/>
    <m/>
    <m/>
    <m/>
    <m/>
    <m/>
    <m/>
    <m/>
    <m/>
    <m/>
    <m/>
    <m/>
    <m/>
    <m/>
    <m/>
    <m/>
    <m/>
  </r>
  <r>
    <x v="0"/>
    <n v="25"/>
    <s v="SIN"/>
    <x v="24"/>
    <s v="2013-2014"/>
    <x v="3"/>
    <n v="9306"/>
    <n v="3734"/>
    <n v="5572"/>
    <n v="47345"/>
    <n v="180"/>
    <n v="48"/>
    <n v="49"/>
    <n v="7757"/>
    <n v="166876.95846203336"/>
    <n v="4530"/>
    <n v="9564"/>
    <n v="2408"/>
    <m/>
    <m/>
    <n v="3555"/>
    <n v="2310"/>
    <n v="2090"/>
    <n v="2080"/>
    <n v="9306"/>
    <n v="184315590"/>
    <n v="612"/>
    <n v="986"/>
    <n v="7312"/>
    <n v="388"/>
    <m/>
    <m/>
    <m/>
    <n v="0"/>
    <m/>
    <m/>
    <m/>
    <m/>
    <m/>
    <m/>
    <m/>
    <m/>
    <m/>
    <m/>
    <m/>
    <m/>
    <m/>
    <m/>
    <m/>
    <m/>
    <m/>
  </r>
  <r>
    <x v="0"/>
    <n v="26"/>
    <s v="SON"/>
    <x v="25"/>
    <s v="2013-2014"/>
    <x v="3"/>
    <n v="12900"/>
    <n v="5501"/>
    <n v="7399"/>
    <n v="46866"/>
    <n v="241"/>
    <n v="35"/>
    <n v="45"/>
    <n v="11004"/>
    <n v="157243.00090581051"/>
    <n v="5613"/>
    <n v="12561"/>
    <n v="2760"/>
    <m/>
    <m/>
    <n v="5662"/>
    <n v="2545"/>
    <n v="2121"/>
    <n v="1905"/>
    <n v="12900"/>
    <n v="186557052"/>
    <n v="521"/>
    <n v="993"/>
    <n v="11874"/>
    <n v="1364"/>
    <m/>
    <m/>
    <m/>
    <n v="0"/>
    <m/>
    <m/>
    <m/>
    <m/>
    <m/>
    <m/>
    <m/>
    <m/>
    <m/>
    <m/>
    <m/>
    <m/>
    <m/>
    <m/>
    <m/>
    <m/>
    <m/>
  </r>
  <r>
    <x v="0"/>
    <n v="27"/>
    <s v="TAB"/>
    <x v="26"/>
    <s v="2013-2014"/>
    <x v="3"/>
    <n v="5452"/>
    <n v="2164"/>
    <n v="3288"/>
    <n v="36668"/>
    <n v="79"/>
    <n v="21"/>
    <n v="31"/>
    <n v="4558"/>
    <n v="134705.84663611482"/>
    <n v="2164"/>
    <n v="5305"/>
    <n v="1288"/>
    <m/>
    <m/>
    <n v="2193"/>
    <n v="1138"/>
    <n v="1080"/>
    <n v="1073"/>
    <n v="5452"/>
    <n v="92390906"/>
    <n v="296"/>
    <n v="414"/>
    <n v="3145"/>
    <n v="22"/>
    <m/>
    <m/>
    <m/>
    <n v="503"/>
    <m/>
    <m/>
    <m/>
    <m/>
    <m/>
    <m/>
    <m/>
    <m/>
    <m/>
    <m/>
    <m/>
    <m/>
    <m/>
    <m/>
    <m/>
    <m/>
    <m/>
  </r>
  <r>
    <x v="0"/>
    <n v="28"/>
    <s v="TAMPS"/>
    <x v="27"/>
    <s v="2013-2014"/>
    <x v="3"/>
    <n v="9144"/>
    <n v="3644"/>
    <n v="5500"/>
    <n v="45534"/>
    <n v="143"/>
    <n v="24"/>
    <n v="53"/>
    <n v="7784"/>
    <n v="186145.71750308797"/>
    <n v="4396"/>
    <n v="8923"/>
    <n v="1841"/>
    <m/>
    <m/>
    <n v="3133"/>
    <n v="1672"/>
    <n v="1817"/>
    <n v="1754"/>
    <n v="9144"/>
    <n v="143856893"/>
    <n v="412"/>
    <n v="939"/>
    <n v="16612"/>
    <n v="466"/>
    <m/>
    <m/>
    <m/>
    <n v="43"/>
    <n v="34"/>
    <m/>
    <m/>
    <m/>
    <m/>
    <m/>
    <m/>
    <m/>
    <m/>
    <m/>
    <m/>
    <m/>
    <m/>
    <m/>
    <m/>
    <m/>
    <m/>
  </r>
  <r>
    <x v="0"/>
    <n v="29"/>
    <s v="TLAX"/>
    <x v="28"/>
    <s v="2013-2014"/>
    <x v="3"/>
    <n v="3098"/>
    <n v="1269"/>
    <n v="1829"/>
    <n v="20885"/>
    <n v="43"/>
    <n v="11"/>
    <n v="17"/>
    <n v="2525"/>
    <n v="73145.535441940141"/>
    <n v="1516"/>
    <n v="3109"/>
    <n v="682"/>
    <m/>
    <m/>
    <n v="1104"/>
    <n v="628"/>
    <n v="571"/>
    <n v="549"/>
    <n v="3098"/>
    <n v="35029811"/>
    <n v="207"/>
    <n v="358"/>
    <n v="1385"/>
    <n v="56"/>
    <m/>
    <m/>
    <m/>
    <n v="0"/>
    <m/>
    <m/>
    <m/>
    <m/>
    <m/>
    <m/>
    <m/>
    <m/>
    <m/>
    <m/>
    <m/>
    <m/>
    <m/>
    <m/>
    <m/>
    <m/>
    <m/>
  </r>
  <r>
    <x v="0"/>
    <n v="30"/>
    <s v="VER"/>
    <x v="29"/>
    <s v="2013-2014"/>
    <x v="3"/>
    <n v="9096"/>
    <n v="3472"/>
    <n v="5624"/>
    <n v="123917"/>
    <n v="175"/>
    <n v="36"/>
    <n v="74"/>
    <n v="7871"/>
    <n v="456163.09147284296"/>
    <n v="5246"/>
    <n v="9255"/>
    <n v="2316"/>
    <m/>
    <m/>
    <n v="3522"/>
    <n v="2105"/>
    <n v="2128"/>
    <n v="2026"/>
    <n v="9096"/>
    <n v="188756223"/>
    <n v="580"/>
    <n v="1302"/>
    <n v="10384"/>
    <n v="245"/>
    <m/>
    <m/>
    <m/>
    <n v="679"/>
    <n v="1185"/>
    <m/>
    <m/>
    <m/>
    <m/>
    <m/>
    <m/>
    <m/>
    <m/>
    <m/>
    <m/>
    <m/>
    <m/>
    <m/>
    <m/>
    <m/>
    <m/>
  </r>
  <r>
    <x v="0"/>
    <n v="31"/>
    <s v="YUC"/>
    <x v="30"/>
    <s v="2013-2014"/>
    <x v="3"/>
    <n v="4673"/>
    <n v="1841"/>
    <n v="2832"/>
    <n v="29568"/>
    <n v="68"/>
    <n v="14"/>
    <n v="22"/>
    <n v="3554"/>
    <n v="113002.20832453723"/>
    <n v="2565"/>
    <n v="4409"/>
    <n v="1138"/>
    <m/>
    <m/>
    <n v="1972"/>
    <n v="998"/>
    <n v="774"/>
    <n v="729"/>
    <n v="4673"/>
    <n v="83899942"/>
    <n v="252"/>
    <n v="390"/>
    <n v="7791"/>
    <n v="396"/>
    <m/>
    <m/>
    <m/>
    <n v="1487"/>
    <m/>
    <m/>
    <m/>
    <m/>
    <m/>
    <m/>
    <m/>
    <m/>
    <m/>
    <m/>
    <m/>
    <m/>
    <m/>
    <m/>
    <m/>
    <m/>
    <m/>
  </r>
  <r>
    <x v="0"/>
    <n v="32"/>
    <s v="ZAC"/>
    <x v="31"/>
    <s v="2013-2014"/>
    <x v="3"/>
    <n v="1759"/>
    <n v="801"/>
    <n v="958"/>
    <n v="26220"/>
    <n v="47"/>
    <n v="15"/>
    <n v="6"/>
    <n v="1389"/>
    <n v="91649.600964842932"/>
    <n v="928"/>
    <n v="1722"/>
    <n v="334"/>
    <m/>
    <m/>
    <n v="800"/>
    <n v="287"/>
    <n v="288"/>
    <n v="270"/>
    <n v="1759"/>
    <n v="30600067"/>
    <n v="88"/>
    <n v="163"/>
    <n v="2125"/>
    <n v="360"/>
    <m/>
    <m/>
    <m/>
    <n v="57"/>
    <m/>
    <m/>
    <m/>
    <m/>
    <m/>
    <m/>
    <m/>
    <m/>
    <m/>
    <m/>
    <m/>
    <m/>
    <m/>
    <m/>
    <m/>
    <m/>
    <m/>
  </r>
  <r>
    <x v="2"/>
    <n v="33"/>
    <s v="OTRO"/>
    <x v="32"/>
    <s v="2013-2014"/>
    <x v="3"/>
    <m/>
    <m/>
    <m/>
    <m/>
    <m/>
    <m/>
    <m/>
    <m/>
    <m/>
    <m/>
    <m/>
    <m/>
    <m/>
    <m/>
    <m/>
    <m/>
    <m/>
    <m/>
    <m/>
    <m/>
    <m/>
    <m/>
    <m/>
    <m/>
    <m/>
    <m/>
    <m/>
    <m/>
    <m/>
    <m/>
    <m/>
    <m/>
    <m/>
    <m/>
    <m/>
    <m/>
    <m/>
    <m/>
    <m/>
    <m/>
    <m/>
    <m/>
    <m/>
    <m/>
    <m/>
  </r>
  <r>
    <x v="1"/>
    <n v="0"/>
    <s v="ON"/>
    <x v="33"/>
    <s v="2013-2014"/>
    <x v="3"/>
    <m/>
    <m/>
    <m/>
    <m/>
    <m/>
    <m/>
    <m/>
    <m/>
    <m/>
    <m/>
    <m/>
    <m/>
    <m/>
    <m/>
    <m/>
    <m/>
    <m/>
    <m/>
    <m/>
    <m/>
    <m/>
    <m/>
    <m/>
    <m/>
    <m/>
    <m/>
    <m/>
    <m/>
    <m/>
    <n v="267870.54704999999"/>
    <n v="1477702"/>
    <n v="1477702"/>
    <n v="1497810.8"/>
    <n v="1379713.2"/>
    <n v="1379713.2"/>
    <n v="1414326.6"/>
    <n v="1433622.3"/>
    <n v="63375.4"/>
    <n v="64188.5"/>
    <n v="97988.800000000003"/>
    <n v="1477702"/>
    <n v="113139.511"/>
    <n v="118097.60000000001"/>
    <n v="1477702"/>
    <n v="1497810.8"/>
  </r>
  <r>
    <x v="0"/>
    <n v="1"/>
    <s v="AGS"/>
    <x v="0"/>
    <s v="2014-2015"/>
    <x v="4"/>
    <n v="4702"/>
    <n v="1860"/>
    <n v="2842"/>
    <n v="22695"/>
    <n v="84"/>
    <n v="14"/>
    <n v="19"/>
    <n v="3971"/>
    <n v="75527.697364606225"/>
    <n v="3529"/>
    <n v="4724"/>
    <n v="1355"/>
    <m/>
    <m/>
    <n v="2029"/>
    <n v="1195"/>
    <n v="1076"/>
    <n v="959"/>
    <n v="4702"/>
    <n v="54318738"/>
    <n v="298"/>
    <n v="451"/>
    <n v="3707"/>
    <n v="200"/>
    <m/>
    <m/>
    <m/>
    <n v="513"/>
    <m/>
    <m/>
    <m/>
    <m/>
    <m/>
    <m/>
    <m/>
    <m/>
    <m/>
    <m/>
    <m/>
    <m/>
    <m/>
    <m/>
    <m/>
    <m/>
    <m/>
  </r>
  <r>
    <x v="0"/>
    <n v="2"/>
    <s v="BC"/>
    <x v="1"/>
    <s v="2014-2015"/>
    <x v="4"/>
    <n v="8064"/>
    <n v="3277"/>
    <n v="4787"/>
    <n v="52307"/>
    <n v="118"/>
    <n v="16"/>
    <n v="25"/>
    <n v="6550"/>
    <n v="192061.00847132175"/>
    <n v="3831"/>
    <n v="7923"/>
    <n v="1696"/>
    <m/>
    <m/>
    <n v="3537"/>
    <n v="1508"/>
    <n v="1654"/>
    <n v="1469"/>
    <n v="8064"/>
    <n v="116478902"/>
    <n v="395"/>
    <n v="627"/>
    <n v="5889"/>
    <n v="239"/>
    <m/>
    <m/>
    <m/>
    <n v="21"/>
    <n v="998"/>
    <m/>
    <m/>
    <m/>
    <m/>
    <m/>
    <m/>
    <m/>
    <m/>
    <m/>
    <m/>
    <m/>
    <m/>
    <m/>
    <m/>
    <m/>
    <m/>
  </r>
  <r>
    <x v="0"/>
    <n v="3"/>
    <s v="BCS"/>
    <x v="2"/>
    <s v="2014-2015"/>
    <x v="4"/>
    <n v="1962"/>
    <n v="709"/>
    <n v="1253"/>
    <n v="10688"/>
    <n v="17"/>
    <n v="6"/>
    <n v="2"/>
    <n v="1514"/>
    <n v="39449.577969580379"/>
    <n v="1155"/>
    <n v="2058"/>
    <n v="399"/>
    <m/>
    <m/>
    <n v="585"/>
    <n v="331"/>
    <n v="366"/>
    <n v="363"/>
    <n v="1962"/>
    <n v="29174547"/>
    <n v="95"/>
    <n v="217"/>
    <n v="1164"/>
    <n v="267"/>
    <m/>
    <m/>
    <m/>
    <n v="0"/>
    <m/>
    <m/>
    <m/>
    <m/>
    <m/>
    <m/>
    <m/>
    <m/>
    <m/>
    <m/>
    <m/>
    <m/>
    <m/>
    <m/>
    <m/>
    <m/>
    <m/>
  </r>
  <r>
    <x v="0"/>
    <n v="4"/>
    <s v="CAMP"/>
    <x v="3"/>
    <s v="2014-2015"/>
    <x v="4"/>
    <n v="1918"/>
    <n v="744"/>
    <n v="1174"/>
    <n v="12251"/>
    <n v="38"/>
    <n v="6"/>
    <n v="17"/>
    <n v="1342"/>
    <n v="49198.152137247227"/>
    <n v="914"/>
    <n v="1930"/>
    <n v="362"/>
    <m/>
    <m/>
    <n v="769"/>
    <n v="321"/>
    <n v="347"/>
    <n v="338"/>
    <n v="1918"/>
    <n v="34927941"/>
    <n v="107"/>
    <n v="311"/>
    <n v="1325"/>
    <n v="170"/>
    <m/>
    <m/>
    <m/>
    <n v="337"/>
    <m/>
    <m/>
    <m/>
    <m/>
    <m/>
    <m/>
    <m/>
    <m/>
    <m/>
    <m/>
    <m/>
    <m/>
    <m/>
    <m/>
    <m/>
    <m/>
    <m/>
  </r>
  <r>
    <x v="0"/>
    <n v="7"/>
    <s v="CHIAP"/>
    <x v="4"/>
    <s v="2014-2015"/>
    <x v="4"/>
    <n v="7561"/>
    <n v="2807"/>
    <n v="4754"/>
    <n v="88123"/>
    <n v="148"/>
    <n v="19"/>
    <n v="42"/>
    <n v="5709"/>
    <n v="340566.79062819039"/>
    <n v="3745"/>
    <n v="7916"/>
    <n v="2004"/>
    <m/>
    <m/>
    <n v="3283"/>
    <n v="1826"/>
    <n v="1710"/>
    <n v="1545"/>
    <n v="7561"/>
    <n v="135011976"/>
    <n v="450"/>
    <n v="679"/>
    <n v="4291"/>
    <n v="50"/>
    <m/>
    <m/>
    <m/>
    <n v="376"/>
    <m/>
    <m/>
    <m/>
    <m/>
    <m/>
    <m/>
    <m/>
    <m/>
    <m/>
    <m/>
    <m/>
    <m/>
    <m/>
    <m/>
    <m/>
    <m/>
    <m/>
  </r>
  <r>
    <x v="0"/>
    <n v="8"/>
    <s v="CHIH"/>
    <x v="5"/>
    <s v="2014-2015"/>
    <x v="4"/>
    <n v="9728"/>
    <n v="3922"/>
    <n v="5806"/>
    <n v="53751"/>
    <n v="154"/>
    <n v="25"/>
    <n v="45"/>
    <n v="8012"/>
    <n v="201857.30158643681"/>
    <n v="4560"/>
    <n v="9072"/>
    <n v="1944"/>
    <m/>
    <m/>
    <n v="3922"/>
    <n v="1732"/>
    <n v="1658"/>
    <n v="1588"/>
    <n v="9728"/>
    <n v="129239077"/>
    <n v="581"/>
    <n v="917"/>
    <n v="5796"/>
    <n v="2102"/>
    <m/>
    <m/>
    <m/>
    <n v="1258"/>
    <n v="1059"/>
    <m/>
    <m/>
    <m/>
    <m/>
    <m/>
    <m/>
    <m/>
    <m/>
    <m/>
    <m/>
    <m/>
    <m/>
    <m/>
    <m/>
    <m/>
    <m/>
  </r>
  <r>
    <x v="1"/>
    <n v="9"/>
    <s v="CDMX"/>
    <x v="6"/>
    <s v="2014-2015"/>
    <x v="4"/>
    <n v="43160"/>
    <n v="18370"/>
    <n v="24790"/>
    <n v="127866"/>
    <n v="545"/>
    <n v="93"/>
    <n v="166"/>
    <n v="32687"/>
    <n v="410538.77783324482"/>
    <n v="23150"/>
    <n v="42808"/>
    <n v="9160"/>
    <m/>
    <m/>
    <n v="18821"/>
    <n v="7626"/>
    <n v="7987"/>
    <n v="5123"/>
    <m/>
    <m/>
    <n v="2164"/>
    <n v="3225"/>
    <n v="15276"/>
    <n v="224"/>
    <m/>
    <m/>
    <m/>
    <n v="2099"/>
    <m/>
    <m/>
    <m/>
    <m/>
    <m/>
    <m/>
    <m/>
    <m/>
    <m/>
    <m/>
    <m/>
    <m/>
    <m/>
    <m/>
    <m/>
    <m/>
    <m/>
  </r>
  <r>
    <x v="0"/>
    <n v="5"/>
    <s v="COAH"/>
    <x v="7"/>
    <s v="2014-2015"/>
    <x v="4"/>
    <n v="7918"/>
    <n v="3366"/>
    <n v="4552"/>
    <n v="44561"/>
    <n v="126"/>
    <n v="24"/>
    <n v="43"/>
    <n v="7125"/>
    <n v="163891.60959595948"/>
    <n v="4255"/>
    <n v="7891"/>
    <n v="1992"/>
    <m/>
    <m/>
    <n v="3388"/>
    <n v="1840"/>
    <n v="1767"/>
    <n v="1743"/>
    <n v="7918"/>
    <n v="126959657"/>
    <n v="415"/>
    <n v="846"/>
    <n v="5638"/>
    <n v="757"/>
    <m/>
    <m/>
    <m/>
    <n v="2"/>
    <m/>
    <m/>
    <m/>
    <m/>
    <m/>
    <m/>
    <m/>
    <m/>
    <m/>
    <m/>
    <m/>
    <m/>
    <m/>
    <m/>
    <m/>
    <m/>
    <m/>
  </r>
  <r>
    <x v="0"/>
    <n v="6"/>
    <s v="COL"/>
    <x v="8"/>
    <s v="2014-2015"/>
    <x v="4"/>
    <n v="1906"/>
    <n v="823"/>
    <n v="1083"/>
    <n v="8273"/>
    <n v="41"/>
    <n v="5"/>
    <n v="10"/>
    <n v="1181"/>
    <n v="37641.209130106377"/>
    <n v="942"/>
    <n v="1883"/>
    <n v="398"/>
    <m/>
    <m/>
    <n v="806"/>
    <n v="323"/>
    <n v="311"/>
    <n v="290"/>
    <n v="1906"/>
    <n v="35267340"/>
    <n v="121"/>
    <n v="313"/>
    <n v="1997"/>
    <n v="9"/>
    <m/>
    <m/>
    <m/>
    <n v="51"/>
    <m/>
    <m/>
    <m/>
    <m/>
    <m/>
    <m/>
    <m/>
    <m/>
    <m/>
    <m/>
    <m/>
    <m/>
    <m/>
    <m/>
    <m/>
    <m/>
    <m/>
  </r>
  <r>
    <x v="0"/>
    <n v="10"/>
    <s v="DGO"/>
    <x v="9"/>
    <s v="2014-2015"/>
    <x v="4"/>
    <n v="2483"/>
    <n v="1025"/>
    <n v="1458"/>
    <n v="28693"/>
    <n v="45"/>
    <n v="13"/>
    <n v="11"/>
    <n v="2065"/>
    <n v="104210.00031715367"/>
    <n v="1156"/>
    <n v="2413"/>
    <n v="463"/>
    <m/>
    <m/>
    <n v="1047"/>
    <n v="423"/>
    <n v="388"/>
    <n v="286"/>
    <n v="2483"/>
    <n v="34487021"/>
    <n v="164"/>
    <n v="248"/>
    <n v="2625"/>
    <n v="72"/>
    <m/>
    <m/>
    <m/>
    <n v="606"/>
    <m/>
    <m/>
    <m/>
    <m/>
    <m/>
    <m/>
    <m/>
    <m/>
    <m/>
    <m/>
    <m/>
    <m/>
    <m/>
    <m/>
    <m/>
    <m/>
    <m/>
  </r>
  <r>
    <x v="0"/>
    <n v="11"/>
    <s v="GTO"/>
    <x v="10"/>
    <s v="2014-2015"/>
    <x v="4"/>
    <n v="17733"/>
    <n v="6355"/>
    <n v="11378"/>
    <n v="94122"/>
    <n v="238"/>
    <n v="56"/>
    <n v="70"/>
    <n v="14983"/>
    <n v="349671.87180136447"/>
    <n v="10284"/>
    <n v="18280"/>
    <n v="4173"/>
    <m/>
    <m/>
    <n v="6290"/>
    <n v="3874"/>
    <n v="3989"/>
    <n v="3898"/>
    <n v="17733"/>
    <n v="206713084"/>
    <n v="928"/>
    <n v="1959"/>
    <n v="22282"/>
    <n v="843"/>
    <m/>
    <m/>
    <m/>
    <n v="1763"/>
    <n v="10952"/>
    <m/>
    <m/>
    <m/>
    <m/>
    <m/>
    <m/>
    <m/>
    <m/>
    <m/>
    <m/>
    <m/>
    <m/>
    <m/>
    <m/>
    <m/>
    <m/>
  </r>
  <r>
    <x v="0"/>
    <n v="12"/>
    <s v="GRO"/>
    <x v="11"/>
    <s v="2014-2015"/>
    <x v="4"/>
    <n v="6743"/>
    <n v="2541"/>
    <n v="4202"/>
    <n v="57668"/>
    <n v="123"/>
    <n v="24"/>
    <n v="42"/>
    <n v="5422"/>
    <n v="228424.40717370744"/>
    <n v="3492"/>
    <n v="6996"/>
    <n v="1579"/>
    <m/>
    <m/>
    <n v="2982"/>
    <n v="1482"/>
    <n v="1531"/>
    <n v="1151"/>
    <n v="6743"/>
    <n v="112866728"/>
    <n v="318"/>
    <n v="554"/>
    <n v="2933"/>
    <n v="461"/>
    <m/>
    <m/>
    <m/>
    <n v="1800"/>
    <m/>
    <m/>
    <m/>
    <m/>
    <m/>
    <m/>
    <m/>
    <m/>
    <m/>
    <m/>
    <m/>
    <m/>
    <m/>
    <m/>
    <m/>
    <m/>
    <m/>
  </r>
  <r>
    <x v="0"/>
    <n v="13"/>
    <s v="HGO"/>
    <x v="12"/>
    <s v="2014-2015"/>
    <x v="4"/>
    <n v="3498"/>
    <n v="1417"/>
    <n v="2081"/>
    <n v="49083"/>
    <n v="65"/>
    <n v="23"/>
    <n v="28"/>
    <n v="2705"/>
    <n v="160118.07123933081"/>
    <n v="1777"/>
    <n v="3924"/>
    <n v="886"/>
    <m/>
    <m/>
    <n v="1656"/>
    <n v="754"/>
    <n v="696"/>
    <n v="696"/>
    <n v="3498"/>
    <n v="54215457"/>
    <n v="210"/>
    <n v="415"/>
    <n v="2003"/>
    <n v="64"/>
    <m/>
    <m/>
    <m/>
    <n v="147"/>
    <m/>
    <m/>
    <m/>
    <m/>
    <m/>
    <m/>
    <m/>
    <m/>
    <m/>
    <m/>
    <m/>
    <m/>
    <m/>
    <m/>
    <m/>
    <m/>
    <m/>
  </r>
  <r>
    <x v="0"/>
    <n v="14"/>
    <s v="JAL"/>
    <x v="13"/>
    <s v="2014-2015"/>
    <x v="4"/>
    <n v="14848"/>
    <n v="5847"/>
    <n v="9001"/>
    <n v="112081"/>
    <n v="255"/>
    <n v="32"/>
    <n v="78"/>
    <n v="11798"/>
    <n v="435120.49567736045"/>
    <n v="6963"/>
    <n v="14705"/>
    <n v="3470"/>
    <m/>
    <m/>
    <n v="5964"/>
    <n v="3107"/>
    <n v="3118"/>
    <n v="2991"/>
    <n v="14848"/>
    <n v="219637773"/>
    <n v="905"/>
    <n v="2137"/>
    <n v="13630"/>
    <n v="1180"/>
    <m/>
    <m/>
    <m/>
    <n v="396"/>
    <n v="491"/>
    <m/>
    <m/>
    <m/>
    <m/>
    <m/>
    <m/>
    <m/>
    <m/>
    <m/>
    <m/>
    <m/>
    <m/>
    <m/>
    <m/>
    <m/>
    <m/>
  </r>
  <r>
    <x v="0"/>
    <n v="15"/>
    <s v="MEX"/>
    <x v="14"/>
    <s v="2014-2015"/>
    <x v="4"/>
    <n v="46706"/>
    <n v="19347"/>
    <n v="27359"/>
    <n v="251537"/>
    <n v="741"/>
    <n v="142"/>
    <n v="214"/>
    <n v="36737"/>
    <n v="911287.59623206698"/>
    <n v="19641"/>
    <n v="47473"/>
    <n v="10457"/>
    <m/>
    <m/>
    <n v="20185"/>
    <n v="8724"/>
    <n v="9041"/>
    <n v="7895"/>
    <n v="46706"/>
    <n v="639065378"/>
    <n v="2378"/>
    <n v="3926"/>
    <n v="25771"/>
    <n v="7841"/>
    <m/>
    <m/>
    <m/>
    <n v="7754"/>
    <n v="671"/>
    <m/>
    <m/>
    <m/>
    <m/>
    <m/>
    <m/>
    <m/>
    <m/>
    <m/>
    <m/>
    <m/>
    <m/>
    <m/>
    <m/>
    <m/>
    <m/>
  </r>
  <r>
    <x v="0"/>
    <n v="16"/>
    <s v="MICH"/>
    <x v="15"/>
    <s v="2014-2015"/>
    <x v="4"/>
    <n v="11679"/>
    <n v="4533"/>
    <n v="7146"/>
    <n v="62780"/>
    <n v="226"/>
    <n v="41"/>
    <n v="63"/>
    <n v="8768"/>
    <n v="265729.05246062623"/>
    <n v="5716"/>
    <n v="11807"/>
    <n v="2858"/>
    <m/>
    <m/>
    <n v="5092"/>
    <n v="2342"/>
    <n v="2525"/>
    <n v="2264"/>
    <n v="11679"/>
    <n v="174887424"/>
    <n v="474"/>
    <n v="1093"/>
    <n v="4341"/>
    <n v="136"/>
    <m/>
    <m/>
    <m/>
    <n v="49"/>
    <m/>
    <m/>
    <m/>
    <m/>
    <m/>
    <m/>
    <m/>
    <m/>
    <m/>
    <m/>
    <m/>
    <m/>
    <m/>
    <m/>
    <m/>
    <m/>
    <m/>
  </r>
  <r>
    <x v="0"/>
    <n v="17"/>
    <s v="MOR"/>
    <x v="16"/>
    <s v="2014-2015"/>
    <x v="4"/>
    <n v="4787"/>
    <n v="2047"/>
    <n v="2740"/>
    <n v="29951"/>
    <n v="68"/>
    <n v="19"/>
    <n v="13"/>
    <n v="4104"/>
    <n v="103220.9696732038"/>
    <n v="2379"/>
    <n v="4693"/>
    <n v="1230"/>
    <m/>
    <m/>
    <n v="2046"/>
    <n v="1119"/>
    <n v="1292"/>
    <n v="1193"/>
    <n v="4787"/>
    <n v="59590257"/>
    <n v="254"/>
    <n v="592"/>
    <n v="2026"/>
    <n v="53"/>
    <m/>
    <m/>
    <m/>
    <n v="2100"/>
    <m/>
    <m/>
    <m/>
    <m/>
    <m/>
    <m/>
    <m/>
    <m/>
    <m/>
    <m/>
    <m/>
    <m/>
    <m/>
    <m/>
    <m/>
    <m/>
    <m/>
  </r>
  <r>
    <x v="0"/>
    <n v="18"/>
    <s v="NAY"/>
    <x v="17"/>
    <s v="2014-2015"/>
    <x v="4"/>
    <n v="2901"/>
    <n v="1099"/>
    <n v="1802"/>
    <n v="18738"/>
    <n v="54"/>
    <n v="8"/>
    <n v="9"/>
    <n v="2675"/>
    <n v="65615.376922982876"/>
    <n v="1361"/>
    <n v="3037"/>
    <n v="655"/>
    <m/>
    <m/>
    <n v="1201"/>
    <n v="587"/>
    <n v="653"/>
    <n v="646"/>
    <n v="2901"/>
    <n v="44532298"/>
    <n v="124"/>
    <n v="399"/>
    <n v="978"/>
    <n v="48"/>
    <m/>
    <m/>
    <m/>
    <n v="0"/>
    <m/>
    <m/>
    <m/>
    <m/>
    <m/>
    <m/>
    <m/>
    <m/>
    <m/>
    <m/>
    <m/>
    <m/>
    <m/>
    <m/>
    <m/>
    <m/>
    <m/>
  </r>
  <r>
    <x v="0"/>
    <n v="19"/>
    <s v="NL"/>
    <x v="18"/>
    <s v="2014-2015"/>
    <x v="4"/>
    <n v="17771"/>
    <n v="7442"/>
    <n v="10329"/>
    <n v="74027"/>
    <n v="250"/>
    <n v="52"/>
    <n v="80"/>
    <n v="14825"/>
    <n v="260623.0422343692"/>
    <n v="9172"/>
    <n v="17191"/>
    <n v="3888"/>
    <m/>
    <m/>
    <n v="6947"/>
    <n v="3522"/>
    <n v="3199"/>
    <n v="3134"/>
    <n v="17771"/>
    <n v="184722995"/>
    <n v="904"/>
    <n v="1734"/>
    <n v="42589"/>
    <n v="1144"/>
    <m/>
    <m/>
    <m/>
    <n v="39610"/>
    <n v="588"/>
    <m/>
    <m/>
    <m/>
    <m/>
    <m/>
    <m/>
    <m/>
    <m/>
    <m/>
    <m/>
    <m/>
    <m/>
    <m/>
    <m/>
    <m/>
    <m/>
  </r>
  <r>
    <x v="1"/>
    <n v="20"/>
    <s v="OAX"/>
    <x v="19"/>
    <s v="2014-2015"/>
    <x v="4"/>
    <n v="6254"/>
    <n v="2259"/>
    <n v="3995"/>
    <n v="64296"/>
    <n v="107"/>
    <n v="12"/>
    <n v="33"/>
    <n v="4947"/>
    <n v="242911.31360360072"/>
    <n v="2817"/>
    <n v="6603"/>
    <n v="1551"/>
    <m/>
    <m/>
    <n v="2793"/>
    <n v="1369"/>
    <n v="1194"/>
    <n v="931"/>
    <m/>
    <m/>
    <n v="380"/>
    <n v="530"/>
    <n v="2196"/>
    <n v="119"/>
    <m/>
    <m/>
    <m/>
    <n v="737"/>
    <m/>
    <m/>
    <m/>
    <m/>
    <m/>
    <m/>
    <m/>
    <m/>
    <m/>
    <m/>
    <m/>
    <m/>
    <m/>
    <m/>
    <m/>
    <m/>
    <m/>
  </r>
  <r>
    <x v="0"/>
    <n v="21"/>
    <s v="PUE"/>
    <x v="20"/>
    <s v="2014-2015"/>
    <x v="4"/>
    <n v="7170"/>
    <n v="2818"/>
    <n v="4352"/>
    <n v="100208"/>
    <n v="144"/>
    <n v="36"/>
    <n v="56"/>
    <n v="6088"/>
    <n v="366757.92912014597"/>
    <n v="3961"/>
    <n v="7277"/>
    <n v="1957"/>
    <m/>
    <m/>
    <n v="3180"/>
    <n v="1712"/>
    <n v="1760"/>
    <n v="1693"/>
    <n v="7170"/>
    <n v="127235974"/>
    <n v="403"/>
    <n v="898"/>
    <n v="4857"/>
    <n v="214"/>
    <m/>
    <m/>
    <m/>
    <n v="5060"/>
    <m/>
    <m/>
    <m/>
    <m/>
    <m/>
    <m/>
    <m/>
    <m/>
    <m/>
    <m/>
    <m/>
    <m/>
    <m/>
    <m/>
    <m/>
    <m/>
    <m/>
  </r>
  <r>
    <x v="0"/>
    <n v="22"/>
    <s v="QRO"/>
    <x v="21"/>
    <s v="2014-2015"/>
    <x v="4"/>
    <n v="3442"/>
    <n v="1476"/>
    <n v="1966"/>
    <n v="28960"/>
    <n v="55"/>
    <n v="13"/>
    <n v="29"/>
    <n v="2953"/>
    <n v="113567.57967282939"/>
    <n v="2233"/>
    <n v="3224"/>
    <n v="763"/>
    <m/>
    <m/>
    <n v="1218"/>
    <n v="716"/>
    <n v="703"/>
    <n v="615"/>
    <n v="3442"/>
    <n v="39171273"/>
    <n v="254"/>
    <n v="357"/>
    <n v="1933"/>
    <n v="6"/>
    <m/>
    <m/>
    <m/>
    <n v="0"/>
    <m/>
    <m/>
    <m/>
    <m/>
    <m/>
    <m/>
    <m/>
    <m/>
    <m/>
    <m/>
    <m/>
    <m/>
    <m/>
    <m/>
    <m/>
    <m/>
    <m/>
  </r>
  <r>
    <x v="0"/>
    <n v="23"/>
    <s v="QROO"/>
    <x v="22"/>
    <s v="2014-2015"/>
    <x v="4"/>
    <n v="8119"/>
    <n v="2777"/>
    <n v="5342"/>
    <n v="19254"/>
    <n v="104"/>
    <n v="18"/>
    <n v="29"/>
    <n v="6515"/>
    <n v="81354.429813431314"/>
    <n v="3265"/>
    <n v="8835"/>
    <n v="2037"/>
    <m/>
    <m/>
    <n v="3176"/>
    <n v="1843"/>
    <n v="1858"/>
    <n v="1793"/>
    <n v="8119"/>
    <n v="84993349"/>
    <n v="413"/>
    <n v="751"/>
    <n v="4110"/>
    <n v="231"/>
    <m/>
    <m/>
    <m/>
    <n v="1255"/>
    <m/>
    <m/>
    <m/>
    <m/>
    <m/>
    <m/>
    <m/>
    <m/>
    <m/>
    <m/>
    <m/>
    <m/>
    <m/>
    <m/>
    <m/>
    <m/>
    <m/>
  </r>
  <r>
    <x v="0"/>
    <n v="24"/>
    <s v="SLP"/>
    <x v="23"/>
    <s v="2014-2015"/>
    <x v="4"/>
    <n v="5248"/>
    <n v="2096"/>
    <n v="3152"/>
    <n v="44581"/>
    <n v="85"/>
    <n v="25"/>
    <n v="28"/>
    <n v="4189"/>
    <n v="162096.19286616868"/>
    <n v="2587"/>
    <n v="5373"/>
    <n v="1212"/>
    <m/>
    <m/>
    <n v="2310"/>
    <n v="1075"/>
    <n v="1099"/>
    <n v="1058"/>
    <n v="5248"/>
    <n v="74400637"/>
    <n v="330"/>
    <n v="353"/>
    <n v="6288"/>
    <n v="137"/>
    <m/>
    <m/>
    <m/>
    <n v="148"/>
    <m/>
    <m/>
    <m/>
    <m/>
    <m/>
    <m/>
    <m/>
    <m/>
    <m/>
    <m/>
    <m/>
    <m/>
    <m/>
    <m/>
    <m/>
    <m/>
    <m/>
  </r>
  <r>
    <x v="0"/>
    <n v="25"/>
    <s v="SIN"/>
    <x v="24"/>
    <s v="2014-2015"/>
    <x v="4"/>
    <n v="8710"/>
    <n v="3009"/>
    <n v="5701"/>
    <n v="42315"/>
    <n v="183"/>
    <n v="51"/>
    <n v="52"/>
    <n v="7519"/>
    <n v="166457.72226850703"/>
    <n v="3539"/>
    <n v="9306"/>
    <n v="2357"/>
    <m/>
    <m/>
    <n v="3737"/>
    <n v="2199"/>
    <n v="2310"/>
    <n v="2282"/>
    <n v="8710"/>
    <n v="188341290"/>
    <n v="610"/>
    <n v="941"/>
    <n v="3570"/>
    <n v="326"/>
    <m/>
    <m/>
    <m/>
    <n v="246"/>
    <m/>
    <m/>
    <m/>
    <m/>
    <m/>
    <m/>
    <m/>
    <m/>
    <m/>
    <m/>
    <m/>
    <m/>
    <m/>
    <m/>
    <m/>
    <m/>
    <m/>
  </r>
  <r>
    <x v="0"/>
    <n v="26"/>
    <s v="SON"/>
    <x v="25"/>
    <s v="2014-2015"/>
    <x v="4"/>
    <n v="13206"/>
    <n v="5686"/>
    <n v="7520"/>
    <n v="47196"/>
    <n v="243"/>
    <n v="36"/>
    <n v="47"/>
    <n v="11132"/>
    <n v="157947.49966147181"/>
    <n v="5848"/>
    <n v="12900"/>
    <n v="2678"/>
    <m/>
    <m/>
    <n v="5937"/>
    <n v="2409"/>
    <n v="2545"/>
    <n v="2323"/>
    <n v="13206"/>
    <n v="191095252"/>
    <n v="517"/>
    <n v="1019"/>
    <n v="10087"/>
    <n v="1322"/>
    <m/>
    <m/>
    <m/>
    <n v="61"/>
    <m/>
    <m/>
    <m/>
    <m/>
    <m/>
    <m/>
    <m/>
    <m/>
    <m/>
    <m/>
    <m/>
    <m/>
    <m/>
    <m/>
    <m/>
    <m/>
    <m/>
  </r>
  <r>
    <x v="0"/>
    <n v="27"/>
    <s v="TAB"/>
    <x v="26"/>
    <s v="2014-2015"/>
    <x v="4"/>
    <n v="5650"/>
    <n v="2162"/>
    <n v="3488"/>
    <n v="37096"/>
    <n v="76"/>
    <n v="22"/>
    <n v="25"/>
    <n v="4790"/>
    <n v="134485.23354493981"/>
    <n v="2162"/>
    <n v="5452"/>
    <n v="1251"/>
    <m/>
    <m/>
    <n v="1976"/>
    <n v="1082"/>
    <n v="1138"/>
    <n v="1102"/>
    <n v="5650"/>
    <n v="94704706"/>
    <n v="297"/>
    <n v="497"/>
    <n v="1647"/>
    <n v="18"/>
    <m/>
    <m/>
    <m/>
    <n v="494"/>
    <m/>
    <m/>
    <m/>
    <m/>
    <m/>
    <m/>
    <m/>
    <m/>
    <m/>
    <m/>
    <m/>
    <m/>
    <m/>
    <m/>
    <m/>
    <m/>
    <m/>
  </r>
  <r>
    <x v="0"/>
    <n v="28"/>
    <s v="TAMPS"/>
    <x v="27"/>
    <s v="2014-2015"/>
    <x v="4"/>
    <n v="9281"/>
    <n v="3511"/>
    <n v="5770"/>
    <n v="45178"/>
    <n v="147"/>
    <n v="22"/>
    <n v="49"/>
    <n v="8044"/>
    <n v="186927.85501677764"/>
    <n v="4017"/>
    <n v="9144"/>
    <n v="1900"/>
    <m/>
    <m/>
    <n v="3417"/>
    <n v="1728"/>
    <n v="1672"/>
    <n v="1591"/>
    <n v="9281"/>
    <n v="147355193"/>
    <n v="408"/>
    <n v="955"/>
    <n v="11238"/>
    <n v="213"/>
    <m/>
    <m/>
    <m/>
    <n v="59"/>
    <n v="49"/>
    <m/>
    <m/>
    <m/>
    <m/>
    <m/>
    <m/>
    <m/>
    <m/>
    <m/>
    <m/>
    <m/>
    <m/>
    <m/>
    <m/>
    <m/>
    <m/>
  </r>
  <r>
    <x v="0"/>
    <n v="29"/>
    <s v="TLAX"/>
    <x v="28"/>
    <s v="2014-2015"/>
    <x v="4"/>
    <n v="3081"/>
    <n v="1224"/>
    <n v="1857"/>
    <n v="20703"/>
    <n v="43"/>
    <n v="11"/>
    <n v="17"/>
    <n v="2556"/>
    <n v="73465.171265943092"/>
    <n v="1374"/>
    <n v="3098"/>
    <n v="716"/>
    <m/>
    <m/>
    <n v="1065"/>
    <n v="618"/>
    <n v="628"/>
    <n v="618"/>
    <n v="3081"/>
    <n v="35904311"/>
    <n v="188"/>
    <n v="372"/>
    <n v="740"/>
    <n v="98"/>
    <m/>
    <m/>
    <m/>
    <n v="0"/>
    <m/>
    <m/>
    <m/>
    <m/>
    <m/>
    <m/>
    <m/>
    <m/>
    <m/>
    <m/>
    <m/>
    <m/>
    <m/>
    <m/>
    <m/>
    <m/>
    <m/>
  </r>
  <r>
    <x v="0"/>
    <n v="30"/>
    <s v="VER"/>
    <x v="29"/>
    <s v="2014-2015"/>
    <x v="4"/>
    <n v="9124"/>
    <n v="3471"/>
    <n v="5653"/>
    <n v="126662"/>
    <n v="175"/>
    <n v="36"/>
    <n v="74"/>
    <n v="7781"/>
    <n v="452203.20298290963"/>
    <n v="4973"/>
    <n v="9096"/>
    <n v="2328"/>
    <m/>
    <m/>
    <n v="3724"/>
    <n v="2162"/>
    <n v="2105"/>
    <n v="2017"/>
    <n v="9124"/>
    <n v="193254123"/>
    <n v="565"/>
    <n v="1217"/>
    <n v="7761"/>
    <n v="198"/>
    <m/>
    <m/>
    <m/>
    <n v="1150"/>
    <n v="563"/>
    <m/>
    <m/>
    <m/>
    <m/>
    <m/>
    <m/>
    <m/>
    <m/>
    <m/>
    <m/>
    <m/>
    <m/>
    <m/>
    <m/>
    <m/>
    <m/>
  </r>
  <r>
    <x v="0"/>
    <n v="31"/>
    <s v="YUC"/>
    <x v="30"/>
    <s v="2014-2015"/>
    <x v="4"/>
    <n v="4704"/>
    <n v="1794"/>
    <n v="2910"/>
    <n v="30399"/>
    <n v="63"/>
    <n v="14"/>
    <n v="24"/>
    <n v="3574"/>
    <n v="112099.1667818322"/>
    <n v="2327"/>
    <n v="4673"/>
    <n v="950"/>
    <m/>
    <m/>
    <n v="1953"/>
    <n v="849"/>
    <n v="998"/>
    <n v="869"/>
    <n v="4704"/>
    <n v="85719142"/>
    <n v="273"/>
    <n v="360"/>
    <n v="5669"/>
    <n v="11"/>
    <m/>
    <m/>
    <m/>
    <n v="1436"/>
    <m/>
    <m/>
    <m/>
    <m/>
    <m/>
    <m/>
    <m/>
    <m/>
    <m/>
    <m/>
    <m/>
    <m/>
    <m/>
    <m/>
    <m/>
    <m/>
    <m/>
  </r>
  <r>
    <x v="0"/>
    <n v="32"/>
    <s v="ZAC"/>
    <x v="31"/>
    <s v="2014-2015"/>
    <x v="4"/>
    <n v="1694"/>
    <n v="695"/>
    <n v="999"/>
    <n v="26654"/>
    <n v="46"/>
    <n v="16"/>
    <n v="7"/>
    <n v="1355"/>
    <n v="91323.11722019731"/>
    <n v="790"/>
    <n v="1759"/>
    <n v="342"/>
    <m/>
    <m/>
    <n v="704"/>
    <n v="276"/>
    <n v="287"/>
    <n v="283"/>
    <n v="1694"/>
    <n v="31289967"/>
    <n v="85"/>
    <n v="164"/>
    <n v="2318"/>
    <n v="316"/>
    <m/>
    <m/>
    <m/>
    <n v="252"/>
    <m/>
    <m/>
    <m/>
    <m/>
    <m/>
    <m/>
    <m/>
    <m/>
    <m/>
    <m/>
    <m/>
    <m/>
    <m/>
    <m/>
    <m/>
    <m/>
    <m/>
  </r>
  <r>
    <x v="2"/>
    <n v="33"/>
    <s v="OTRO"/>
    <x v="32"/>
    <s v="2014-2015"/>
    <x v="4"/>
    <m/>
    <m/>
    <m/>
    <m/>
    <m/>
    <m/>
    <m/>
    <m/>
    <m/>
    <m/>
    <m/>
    <m/>
    <m/>
    <m/>
    <m/>
    <m/>
    <m/>
    <m/>
    <m/>
    <m/>
    <m/>
    <m/>
    <m/>
    <m/>
    <m/>
    <m/>
    <m/>
    <m/>
    <m/>
    <m/>
    <m/>
    <m/>
    <m/>
    <m/>
    <m/>
    <m/>
    <m/>
    <m/>
    <m/>
    <m/>
    <m/>
    <m/>
    <m/>
    <m/>
    <m/>
  </r>
  <r>
    <x v="1"/>
    <n v="0"/>
    <s v="ON"/>
    <x v="33"/>
    <s v="2014-2015"/>
    <x v="4"/>
    <m/>
    <m/>
    <m/>
    <m/>
    <m/>
    <m/>
    <m/>
    <m/>
    <m/>
    <m/>
    <m/>
    <m/>
    <m/>
    <m/>
    <m/>
    <m/>
    <m/>
    <m/>
    <m/>
    <m/>
    <m/>
    <m/>
    <m/>
    <m/>
    <m/>
    <m/>
    <m/>
    <n v="769"/>
    <m/>
    <n v="282670"/>
    <n v="1422011.4"/>
    <n v="1422011.4"/>
    <n v="1425249.5"/>
    <n v="1296985"/>
    <n v="1296985"/>
    <n v="1409321.5"/>
    <n v="1412252.6"/>
    <n v="12690"/>
    <n v="12997"/>
    <n v="111761.9"/>
    <n v="1422011.4"/>
    <n v="105208.6"/>
    <n v="115000"/>
    <n v="1422011.4"/>
    <n v="1425249.5"/>
  </r>
  <r>
    <x v="0"/>
    <n v="1"/>
    <s v="AGS"/>
    <x v="0"/>
    <s v="2015-2016"/>
    <x v="5"/>
    <n v="4664"/>
    <n v="1765"/>
    <n v="2899"/>
    <n v="24393"/>
    <n v="84"/>
    <n v="14"/>
    <n v="19"/>
    <n v="4285"/>
    <n v="75584.213108640746"/>
    <n v="2733"/>
    <n v="4702"/>
    <n v="1283"/>
    <m/>
    <m/>
    <n v="1859"/>
    <n v="1091"/>
    <n v="1195"/>
    <n v="1104"/>
    <n v="4664"/>
    <n v="55996773"/>
    <n v="299"/>
    <n v="451"/>
    <n v="2738"/>
    <n v="351"/>
    <m/>
    <m/>
    <m/>
    <n v="486"/>
    <m/>
    <m/>
    <m/>
    <m/>
    <m/>
    <m/>
    <m/>
    <m/>
    <m/>
    <m/>
    <m/>
    <m/>
    <m/>
    <m/>
    <m/>
    <m/>
    <m/>
  </r>
  <r>
    <x v="0"/>
    <n v="2"/>
    <s v="BC"/>
    <x v="1"/>
    <s v="2015-2016"/>
    <x v="5"/>
    <n v="8256"/>
    <n v="3651"/>
    <n v="4605"/>
    <n v="54941"/>
    <n v="118"/>
    <n v="16"/>
    <n v="25"/>
    <n v="6270"/>
    <n v="190856.64998810878"/>
    <n v="4071"/>
    <n v="8064"/>
    <n v="1768"/>
    <m/>
    <m/>
    <n v="3424"/>
    <n v="1519"/>
    <n v="1508"/>
    <n v="1422"/>
    <n v="8256"/>
    <n v="119937277"/>
    <n v="372"/>
    <n v="627"/>
    <n v="2365"/>
    <n v="37"/>
    <m/>
    <m/>
    <m/>
    <n v="65"/>
    <n v="1083"/>
    <m/>
    <m/>
    <m/>
    <m/>
    <m/>
    <m/>
    <m/>
    <m/>
    <m/>
    <m/>
    <m/>
    <m/>
    <m/>
    <m/>
    <m/>
    <m/>
  </r>
  <r>
    <x v="0"/>
    <n v="3"/>
    <s v="BCS"/>
    <x v="2"/>
    <s v="2015-2016"/>
    <x v="5"/>
    <n v="1875"/>
    <n v="660"/>
    <n v="1215"/>
    <n v="12036"/>
    <n v="17"/>
    <n v="6"/>
    <n v="2"/>
    <n v="1313"/>
    <n v="40261.144968133696"/>
    <n v="909"/>
    <n v="1962"/>
    <n v="492"/>
    <m/>
    <m/>
    <n v="858"/>
    <n v="429"/>
    <n v="331"/>
    <n v="308"/>
    <n v="1875"/>
    <n v="30051110"/>
    <n v="99"/>
    <n v="217"/>
    <n v="707"/>
    <n v="0"/>
    <m/>
    <m/>
    <m/>
    <n v="39"/>
    <m/>
    <m/>
    <m/>
    <m/>
    <m/>
    <m/>
    <m/>
    <m/>
    <m/>
    <m/>
    <m/>
    <m/>
    <m/>
    <m/>
    <m/>
    <m/>
    <m/>
  </r>
  <r>
    <x v="0"/>
    <n v="4"/>
    <s v="CAMP"/>
    <x v="3"/>
    <s v="2015-2016"/>
    <x v="5"/>
    <n v="1890"/>
    <n v="753"/>
    <n v="1137"/>
    <n v="13297"/>
    <n v="38"/>
    <n v="6"/>
    <n v="17"/>
    <n v="1260"/>
    <n v="48789.089747920065"/>
    <n v="893"/>
    <n v="1918"/>
    <n v="414"/>
    <m/>
    <m/>
    <n v="802"/>
    <n v="367"/>
    <n v="321"/>
    <n v="292"/>
    <n v="1890"/>
    <n v="35958415"/>
    <n v="105"/>
    <n v="311"/>
    <n v="421"/>
    <n v="84"/>
    <m/>
    <m/>
    <m/>
    <n v="292"/>
    <m/>
    <m/>
    <m/>
    <m/>
    <m/>
    <m/>
    <m/>
    <m/>
    <m/>
    <m/>
    <m/>
    <m/>
    <m/>
    <m/>
    <m/>
    <m/>
    <m/>
  </r>
  <r>
    <x v="0"/>
    <n v="7"/>
    <s v="CHIAP"/>
    <x v="4"/>
    <s v="2015-2016"/>
    <x v="5"/>
    <n v="7432"/>
    <n v="2774"/>
    <n v="4658"/>
    <n v="92580"/>
    <n v="148"/>
    <n v="19"/>
    <n v="42"/>
    <n v="5860"/>
    <n v="340773.49278888613"/>
    <n v="3501"/>
    <n v="7561"/>
    <n v="1876"/>
    <m/>
    <m/>
    <n v="2882"/>
    <n v="1634"/>
    <n v="1826"/>
    <n v="1714"/>
    <n v="7432"/>
    <n v="139280587"/>
    <n v="431"/>
    <n v="679"/>
    <n v="4628"/>
    <n v="46"/>
    <m/>
    <m/>
    <m/>
    <n v="310"/>
    <m/>
    <m/>
    <m/>
    <m/>
    <m/>
    <m/>
    <m/>
    <m/>
    <m/>
    <m/>
    <m/>
    <m/>
    <m/>
    <m/>
    <m/>
    <m/>
    <m/>
  </r>
  <r>
    <x v="0"/>
    <n v="8"/>
    <s v="CHIH"/>
    <x v="5"/>
    <s v="2015-2016"/>
    <x v="5"/>
    <n v="9712"/>
    <n v="4125"/>
    <n v="5587"/>
    <n v="56115"/>
    <n v="154"/>
    <n v="25"/>
    <n v="45"/>
    <n v="8331"/>
    <n v="202192.57072636313"/>
    <n v="4925"/>
    <n v="9728"/>
    <n v="2287"/>
    <m/>
    <m/>
    <n v="4195"/>
    <n v="1992"/>
    <n v="1732"/>
    <n v="1675"/>
    <n v="9712"/>
    <n v="133276489"/>
    <n v="558"/>
    <n v="917"/>
    <n v="2680"/>
    <n v="356"/>
    <m/>
    <m/>
    <m/>
    <n v="243"/>
    <n v="851"/>
    <m/>
    <m/>
    <m/>
    <m/>
    <m/>
    <m/>
    <m/>
    <m/>
    <m/>
    <m/>
    <m/>
    <m/>
    <m/>
    <m/>
    <m/>
    <m/>
  </r>
  <r>
    <x v="1"/>
    <n v="9"/>
    <s v="CDMX"/>
    <x v="6"/>
    <s v="2015-2016"/>
    <x v="5"/>
    <n v="44572"/>
    <n v="19962"/>
    <n v="24610"/>
    <n v="149491"/>
    <n v="545"/>
    <n v="93"/>
    <n v="166"/>
    <n v="34314"/>
    <n v="404322.29056727118"/>
    <n v="24975"/>
    <n v="43160"/>
    <n v="8536"/>
    <m/>
    <m/>
    <n v="17932"/>
    <n v="6975"/>
    <n v="7626"/>
    <n v="5241"/>
    <m/>
    <m/>
    <n v="2166"/>
    <n v="3225"/>
    <n v="8979"/>
    <n v="839"/>
    <m/>
    <m/>
    <m/>
    <n v="1770"/>
    <m/>
    <m/>
    <m/>
    <m/>
    <m/>
    <m/>
    <m/>
    <m/>
    <m/>
    <m/>
    <m/>
    <m/>
    <m/>
    <m/>
    <m/>
    <m/>
    <m/>
  </r>
  <r>
    <x v="0"/>
    <n v="5"/>
    <s v="COAH"/>
    <x v="7"/>
    <s v="2015-2016"/>
    <x v="5"/>
    <n v="8924"/>
    <n v="4120"/>
    <n v="4804"/>
    <n v="44444"/>
    <n v="126"/>
    <n v="24"/>
    <n v="43"/>
    <n v="7619"/>
    <n v="164151.24862727136"/>
    <n v="5008"/>
    <n v="7918"/>
    <n v="1920"/>
    <m/>
    <m/>
    <n v="3210"/>
    <n v="1732"/>
    <n v="1840"/>
    <n v="1795"/>
    <n v="8924"/>
    <n v="130737471"/>
    <n v="423"/>
    <n v="846"/>
    <n v="500"/>
    <n v="42"/>
    <m/>
    <m/>
    <m/>
    <n v="49"/>
    <m/>
    <m/>
    <m/>
    <m/>
    <m/>
    <m/>
    <m/>
    <m/>
    <m/>
    <m/>
    <m/>
    <m/>
    <m/>
    <m/>
    <m/>
    <m/>
    <m/>
  </r>
  <r>
    <x v="0"/>
    <n v="6"/>
    <s v="COL"/>
    <x v="8"/>
    <s v="2015-2016"/>
    <x v="5"/>
    <n v="1904"/>
    <n v="883"/>
    <n v="1021"/>
    <n v="9679"/>
    <n v="41"/>
    <n v="5"/>
    <n v="10"/>
    <n v="1155"/>
    <n v="37724.691315219032"/>
    <n v="1004"/>
    <n v="1906"/>
    <n v="392"/>
    <m/>
    <m/>
    <n v="837"/>
    <n v="313"/>
    <n v="323"/>
    <n v="316"/>
    <n v="1904"/>
    <n v="36314796"/>
    <n v="122"/>
    <n v="313"/>
    <n v="578"/>
    <n v="60"/>
    <m/>
    <m/>
    <m/>
    <n v="75"/>
    <m/>
    <m/>
    <m/>
    <m/>
    <m/>
    <m/>
    <m/>
    <m/>
    <m/>
    <m/>
    <m/>
    <m/>
    <m/>
    <m/>
    <m/>
    <m/>
    <m/>
  </r>
  <r>
    <x v="0"/>
    <n v="10"/>
    <s v="DGO"/>
    <x v="9"/>
    <s v="2015-2016"/>
    <x v="5"/>
    <n v="2338"/>
    <n v="936"/>
    <n v="1402"/>
    <n v="28058"/>
    <n v="45"/>
    <n v="13"/>
    <n v="11"/>
    <n v="1840"/>
    <n v="103820.46888724105"/>
    <n v="1091"/>
    <n v="2483"/>
    <n v="483"/>
    <m/>
    <m/>
    <n v="1103"/>
    <n v="435"/>
    <n v="423"/>
    <n v="299"/>
    <n v="2338"/>
    <n v="35482547"/>
    <n v="159"/>
    <n v="248"/>
    <n v="717"/>
    <n v="166"/>
    <m/>
    <m/>
    <m/>
    <n v="71"/>
    <m/>
    <m/>
    <m/>
    <m/>
    <m/>
    <m/>
    <m/>
    <m/>
    <m/>
    <m/>
    <m/>
    <m/>
    <m/>
    <m/>
    <m/>
    <m/>
    <m/>
  </r>
  <r>
    <x v="0"/>
    <n v="11"/>
    <s v="GTO"/>
    <x v="10"/>
    <s v="2015-2016"/>
    <x v="5"/>
    <n v="17490"/>
    <n v="6444"/>
    <n v="11046"/>
    <n v="99912"/>
    <n v="238"/>
    <n v="56"/>
    <n v="70"/>
    <n v="13758"/>
    <n v="346948.29293777305"/>
    <n v="10759"/>
    <n v="17733"/>
    <n v="4552"/>
    <m/>
    <m/>
    <n v="6684"/>
    <n v="4179"/>
    <n v="3874"/>
    <n v="3774"/>
    <n v="17490"/>
    <n v="213348943"/>
    <n v="901"/>
    <n v="1959"/>
    <n v="30302"/>
    <n v="765"/>
    <m/>
    <m/>
    <m/>
    <n v="8014"/>
    <n v="9386"/>
    <m/>
    <m/>
    <m/>
    <m/>
    <m/>
    <m/>
    <m/>
    <m/>
    <m/>
    <m/>
    <m/>
    <m/>
    <m/>
    <m/>
    <m/>
    <m/>
  </r>
  <r>
    <x v="0"/>
    <n v="12"/>
    <s v="GRO"/>
    <x v="11"/>
    <s v="2015-2016"/>
    <x v="5"/>
    <n v="6612"/>
    <n v="2626"/>
    <n v="3986"/>
    <n v="62910"/>
    <n v="123"/>
    <n v="24"/>
    <n v="42"/>
    <n v="5150"/>
    <n v="226435.10807310266"/>
    <n v="3474"/>
    <n v="6743"/>
    <n v="1638"/>
    <m/>
    <m/>
    <n v="2844"/>
    <n v="1457"/>
    <n v="1482"/>
    <n v="1088"/>
    <n v="6612"/>
    <n v="116346947"/>
    <n v="307"/>
    <n v="554"/>
    <n v="1571"/>
    <n v="1186"/>
    <m/>
    <m/>
    <m/>
    <n v="1462"/>
    <m/>
    <m/>
    <m/>
    <m/>
    <m/>
    <m/>
    <m/>
    <m/>
    <m/>
    <m/>
    <m/>
    <m/>
    <m/>
    <m/>
    <m/>
    <m/>
    <m/>
  </r>
  <r>
    <x v="0"/>
    <n v="13"/>
    <s v="HGO"/>
    <x v="12"/>
    <s v="2015-2016"/>
    <x v="5"/>
    <n v="3713"/>
    <n v="1678"/>
    <n v="2035"/>
    <n v="52292"/>
    <n v="65"/>
    <n v="23"/>
    <n v="28"/>
    <n v="3104"/>
    <n v="160411.42558593757"/>
    <n v="1972"/>
    <n v="3498"/>
    <n v="865"/>
    <m/>
    <m/>
    <n v="1523"/>
    <n v="691"/>
    <n v="754"/>
    <n v="745"/>
    <n v="3713"/>
    <n v="55787690"/>
    <n v="220"/>
    <n v="415"/>
    <n v="599"/>
    <n v="287"/>
    <m/>
    <m/>
    <m/>
    <n v="274"/>
    <m/>
    <m/>
    <m/>
    <m/>
    <m/>
    <m/>
    <m/>
    <m/>
    <m/>
    <m/>
    <m/>
    <m/>
    <m/>
    <m/>
    <m/>
    <m/>
    <m/>
  </r>
  <r>
    <x v="0"/>
    <n v="14"/>
    <s v="JAL"/>
    <x v="13"/>
    <s v="2015-2016"/>
    <x v="5"/>
    <n v="14614"/>
    <n v="5953"/>
    <n v="8661"/>
    <n v="134984"/>
    <n v="255"/>
    <n v="32"/>
    <n v="78"/>
    <n v="11091"/>
    <n v="434574.23822360497"/>
    <n v="6291"/>
    <n v="14848"/>
    <n v="3414"/>
    <m/>
    <m/>
    <n v="5963"/>
    <n v="3081"/>
    <n v="3107"/>
    <n v="2898"/>
    <n v="14614"/>
    <n v="226341467"/>
    <n v="880"/>
    <n v="2137"/>
    <n v="4643"/>
    <n v="606"/>
    <m/>
    <m/>
    <m/>
    <n v="463"/>
    <n v="446"/>
    <m/>
    <m/>
    <m/>
    <m/>
    <m/>
    <m/>
    <m/>
    <m/>
    <m/>
    <m/>
    <m/>
    <m/>
    <m/>
    <m/>
    <m/>
    <m/>
  </r>
  <r>
    <x v="0"/>
    <n v="15"/>
    <s v="MEX"/>
    <x v="14"/>
    <s v="2015-2016"/>
    <x v="5"/>
    <n v="47574"/>
    <n v="20621"/>
    <n v="26953"/>
    <n v="278453"/>
    <n v="741"/>
    <n v="142"/>
    <n v="214"/>
    <n v="39966"/>
    <n v="911712.24742897251"/>
    <n v="20736"/>
    <n v="46706"/>
    <n v="10258"/>
    <m/>
    <m/>
    <n v="19660"/>
    <n v="8432"/>
    <n v="8724"/>
    <n v="7492"/>
    <n v="47574"/>
    <n v="657722639"/>
    <n v="2293"/>
    <n v="3926"/>
    <n v="17410"/>
    <n v="909"/>
    <m/>
    <m/>
    <m/>
    <n v="6308"/>
    <n v="801"/>
    <m/>
    <m/>
    <m/>
    <m/>
    <m/>
    <m/>
    <m/>
    <m/>
    <m/>
    <m/>
    <m/>
    <m/>
    <m/>
    <m/>
    <m/>
    <m/>
  </r>
  <r>
    <x v="0"/>
    <n v="16"/>
    <s v="MICH"/>
    <x v="15"/>
    <s v="2015-2016"/>
    <x v="5"/>
    <n v="11182"/>
    <n v="4395"/>
    <n v="6787"/>
    <n v="69610"/>
    <n v="226"/>
    <n v="41"/>
    <n v="63"/>
    <n v="8902"/>
    <n v="263050.95224898576"/>
    <n v="5762"/>
    <n v="11679"/>
    <n v="3026"/>
    <m/>
    <m/>
    <n v="5099"/>
    <n v="2482"/>
    <n v="2342"/>
    <n v="2059"/>
    <n v="11182"/>
    <n v="180418872"/>
    <n v="466"/>
    <n v="1093"/>
    <n v="1758"/>
    <n v="486"/>
    <m/>
    <m/>
    <m/>
    <n v="5"/>
    <m/>
    <m/>
    <m/>
    <m/>
    <m/>
    <m/>
    <m/>
    <m/>
    <m/>
    <m/>
    <m/>
    <m/>
    <m/>
    <m/>
    <m/>
    <m/>
    <m/>
  </r>
  <r>
    <x v="0"/>
    <n v="17"/>
    <s v="MOR"/>
    <x v="16"/>
    <s v="2015-2016"/>
    <x v="5"/>
    <n v="4599"/>
    <n v="1929"/>
    <n v="2670"/>
    <n v="32523"/>
    <n v="68"/>
    <n v="19"/>
    <n v="13"/>
    <n v="3728"/>
    <n v="102703.04808293736"/>
    <n v="2428"/>
    <n v="4787"/>
    <n v="1255"/>
    <m/>
    <m/>
    <n v="2002"/>
    <n v="1130"/>
    <n v="1119"/>
    <n v="1008"/>
    <n v="4599"/>
    <n v="61327462"/>
    <n v="245"/>
    <n v="592"/>
    <n v="3377"/>
    <n v="512"/>
    <m/>
    <m/>
    <m/>
    <n v="1995"/>
    <m/>
    <m/>
    <m/>
    <m/>
    <m/>
    <m/>
    <m/>
    <m/>
    <m/>
    <m/>
    <m/>
    <m/>
    <m/>
    <m/>
    <m/>
    <m/>
    <m/>
  </r>
  <r>
    <x v="0"/>
    <n v="18"/>
    <s v="NAY"/>
    <x v="17"/>
    <s v="2015-2016"/>
    <x v="5"/>
    <n v="3019"/>
    <n v="1264"/>
    <n v="1755"/>
    <n v="20436"/>
    <n v="54"/>
    <n v="8"/>
    <n v="9"/>
    <n v="2603"/>
    <n v="66019.247600487812"/>
    <n v="1486"/>
    <n v="2901"/>
    <n v="683"/>
    <m/>
    <m/>
    <n v="1267"/>
    <n v="620"/>
    <n v="587"/>
    <n v="579"/>
    <n v="3019"/>
    <n v="45890293"/>
    <n v="124"/>
    <n v="399"/>
    <n v="289"/>
    <n v="70"/>
    <m/>
    <m/>
    <m/>
    <n v="0"/>
    <m/>
    <m/>
    <m/>
    <m/>
    <m/>
    <m/>
    <m/>
    <m/>
    <m/>
    <m/>
    <m/>
    <m/>
    <m/>
    <m/>
    <m/>
    <m/>
    <m/>
  </r>
  <r>
    <x v="0"/>
    <n v="19"/>
    <s v="NL"/>
    <x v="18"/>
    <s v="2015-2016"/>
    <x v="5"/>
    <n v="18667"/>
    <n v="8223"/>
    <n v="10444"/>
    <n v="83352"/>
    <n v="250"/>
    <n v="52"/>
    <n v="80"/>
    <n v="14736"/>
    <n v="262574.27570966166"/>
    <n v="11124"/>
    <n v="17771"/>
    <n v="4210"/>
    <m/>
    <m/>
    <n v="7296"/>
    <n v="3797"/>
    <n v="3522"/>
    <n v="3440"/>
    <n v="18667"/>
    <n v="190850231"/>
    <n v="897"/>
    <n v="1734"/>
    <n v="32438"/>
    <n v="1969"/>
    <m/>
    <m/>
    <m/>
    <n v="35553"/>
    <n v="1193"/>
    <m/>
    <m/>
    <m/>
    <m/>
    <m/>
    <m/>
    <m/>
    <m/>
    <m/>
    <m/>
    <m/>
    <m/>
    <m/>
    <m/>
    <m/>
    <m/>
  </r>
  <r>
    <x v="1"/>
    <n v="20"/>
    <s v="OAX"/>
    <x v="19"/>
    <s v="2015-2016"/>
    <x v="5"/>
    <n v="6301"/>
    <n v="2568"/>
    <n v="3733"/>
    <n v="64304"/>
    <n v="107"/>
    <n v="12"/>
    <n v="33"/>
    <n v="5010"/>
    <n v="241009.03331680052"/>
    <n v="3238"/>
    <n v="6254"/>
    <n v="1508"/>
    <m/>
    <m/>
    <n v="2691"/>
    <n v="1316"/>
    <n v="1369"/>
    <n v="890"/>
    <m/>
    <m/>
    <n v="366"/>
    <n v="530"/>
    <n v="2327"/>
    <n v="35"/>
    <m/>
    <m/>
    <m/>
    <n v="602"/>
    <m/>
    <m/>
    <m/>
    <m/>
    <m/>
    <m/>
    <m/>
    <m/>
    <m/>
    <m/>
    <m/>
    <m/>
    <m/>
    <m/>
    <m/>
    <m/>
    <m/>
  </r>
  <r>
    <x v="0"/>
    <n v="21"/>
    <s v="PUE"/>
    <x v="20"/>
    <s v="2015-2016"/>
    <x v="5"/>
    <n v="7128"/>
    <n v="2822"/>
    <n v="4306"/>
    <n v="109274"/>
    <n v="144"/>
    <n v="36"/>
    <n v="56"/>
    <n v="5868"/>
    <n v="367000.54615377309"/>
    <n v="3986"/>
    <n v="7170"/>
    <n v="1873"/>
    <m/>
    <m/>
    <n v="2816"/>
    <n v="1602"/>
    <n v="1712"/>
    <n v="1639"/>
    <n v="7128"/>
    <n v="130865900"/>
    <n v="402"/>
    <n v="898"/>
    <n v="2966"/>
    <n v="173"/>
    <m/>
    <m/>
    <m/>
    <n v="3057"/>
    <m/>
    <m/>
    <m/>
    <m/>
    <m/>
    <m/>
    <m/>
    <m/>
    <m/>
    <m/>
    <m/>
    <m/>
    <m/>
    <m/>
    <m/>
    <m/>
    <m/>
  </r>
  <r>
    <x v="0"/>
    <n v="22"/>
    <s v="QRO"/>
    <x v="21"/>
    <s v="2015-2016"/>
    <x v="5"/>
    <n v="3482"/>
    <n v="1374"/>
    <n v="2108"/>
    <n v="32682"/>
    <n v="55"/>
    <n v="13"/>
    <n v="29"/>
    <n v="2775"/>
    <n v="113446.37951932651"/>
    <n v="2270"/>
    <n v="3442"/>
    <n v="768"/>
    <m/>
    <m/>
    <n v="1219"/>
    <n v="715"/>
    <n v="716"/>
    <n v="646"/>
    <n v="3482"/>
    <n v="40331193"/>
    <n v="267"/>
    <n v="357"/>
    <n v="297"/>
    <n v="49"/>
    <m/>
    <m/>
    <m/>
    <n v="47"/>
    <m/>
    <m/>
    <m/>
    <m/>
    <m/>
    <m/>
    <m/>
    <m/>
    <m/>
    <m/>
    <m/>
    <m/>
    <m/>
    <m/>
    <m/>
    <m/>
    <m/>
  </r>
  <r>
    <x v="0"/>
    <n v="23"/>
    <s v="QROO"/>
    <x v="22"/>
    <s v="2015-2016"/>
    <x v="5"/>
    <n v="8052"/>
    <n v="3286"/>
    <n v="4766"/>
    <n v="21186"/>
    <n v="104"/>
    <n v="18"/>
    <n v="29"/>
    <n v="6335"/>
    <n v="82157.314791918063"/>
    <n v="3800"/>
    <n v="8119"/>
    <n v="2352"/>
    <m/>
    <m/>
    <n v="3687"/>
    <n v="2146"/>
    <n v="1843"/>
    <n v="1734"/>
    <n v="8052"/>
    <n v="87582707"/>
    <n v="405"/>
    <n v="751"/>
    <n v="140"/>
    <n v="56"/>
    <m/>
    <m/>
    <m/>
    <n v="257"/>
    <m/>
    <m/>
    <m/>
    <m/>
    <m/>
    <m/>
    <m/>
    <m/>
    <m/>
    <m/>
    <m/>
    <m/>
    <m/>
    <m/>
    <m/>
    <m/>
    <m/>
  </r>
  <r>
    <x v="0"/>
    <n v="24"/>
    <s v="SLP"/>
    <x v="23"/>
    <s v="2015-2016"/>
    <x v="5"/>
    <n v="5220"/>
    <n v="2258"/>
    <n v="2962"/>
    <n v="48979"/>
    <n v="85"/>
    <n v="25"/>
    <n v="28"/>
    <n v="4052"/>
    <n v="161315.89873923562"/>
    <n v="2783"/>
    <n v="5248"/>
    <n v="1240"/>
    <m/>
    <m/>
    <n v="2196"/>
    <n v="1065"/>
    <n v="1075"/>
    <n v="1011"/>
    <n v="5220"/>
    <n v="76597325"/>
    <n v="319"/>
    <n v="353"/>
    <n v="2880"/>
    <n v="198"/>
    <m/>
    <m/>
    <m/>
    <n v="247"/>
    <m/>
    <m/>
    <m/>
    <m/>
    <m/>
    <m/>
    <m/>
    <m/>
    <m/>
    <m/>
    <m/>
    <m/>
    <m/>
    <m/>
    <m/>
    <m/>
    <m/>
  </r>
  <r>
    <x v="0"/>
    <n v="25"/>
    <s v="SIN"/>
    <x v="24"/>
    <s v="2015-2016"/>
    <x v="5"/>
    <n v="8506"/>
    <n v="3326"/>
    <n v="5180"/>
    <n v="47206"/>
    <n v="183"/>
    <n v="51"/>
    <n v="52"/>
    <n v="7159"/>
    <n v="165717.12517568539"/>
    <n v="3838"/>
    <n v="8710"/>
    <n v="2473"/>
    <m/>
    <m/>
    <n v="3935"/>
    <n v="2267"/>
    <n v="2199"/>
    <n v="2168"/>
    <n v="8506"/>
    <n v="194265438"/>
    <n v="561"/>
    <n v="941"/>
    <n v="774"/>
    <n v="72"/>
    <m/>
    <m/>
    <m/>
    <n v="68"/>
    <m/>
    <m/>
    <m/>
    <m/>
    <m/>
    <m/>
    <m/>
    <m/>
    <m/>
    <m/>
    <m/>
    <m/>
    <m/>
    <m/>
    <m/>
    <m/>
    <m/>
  </r>
  <r>
    <x v="0"/>
    <n v="26"/>
    <s v="SON"/>
    <x v="25"/>
    <s v="2015-2016"/>
    <x v="5"/>
    <n v="14044"/>
    <n v="6199"/>
    <n v="7845"/>
    <n v="47330"/>
    <n v="243"/>
    <n v="36"/>
    <n v="47"/>
    <n v="11328"/>
    <n v="158624.9306182384"/>
    <n v="6300"/>
    <n v="13206"/>
    <n v="2641"/>
    <m/>
    <m/>
    <n v="5124"/>
    <n v="2143"/>
    <n v="2409"/>
    <n v="2041"/>
    <n v="14044"/>
    <n v="196627762"/>
    <n v="534"/>
    <n v="1019"/>
    <n v="5816"/>
    <n v="243"/>
    <m/>
    <m/>
    <m/>
    <n v="103"/>
    <m/>
    <m/>
    <m/>
    <m/>
    <m/>
    <m/>
    <m/>
    <m/>
    <m/>
    <m/>
    <m/>
    <m/>
    <m/>
    <m/>
    <m/>
    <m/>
    <m/>
  </r>
  <r>
    <x v="0"/>
    <n v="27"/>
    <s v="TAB"/>
    <x v="26"/>
    <s v="2015-2016"/>
    <x v="5"/>
    <n v="5739"/>
    <n v="2280"/>
    <n v="3459"/>
    <n v="42849"/>
    <n v="76"/>
    <n v="22"/>
    <n v="25"/>
    <n v="4780"/>
    <n v="134263.10997582137"/>
    <m/>
    <n v="5650"/>
    <n v="1475"/>
    <m/>
    <m/>
    <n v="2213"/>
    <n v="1319"/>
    <n v="1082"/>
    <n v="1055"/>
    <n v="5739"/>
    <n v="97447789"/>
    <n v="295"/>
    <n v="497"/>
    <n v="682"/>
    <n v="0"/>
    <m/>
    <m/>
    <m/>
    <n v="221"/>
    <m/>
    <m/>
    <m/>
    <m/>
    <m/>
    <m/>
    <m/>
    <m/>
    <m/>
    <m/>
    <m/>
    <m/>
    <m/>
    <m/>
    <m/>
    <m/>
    <m/>
  </r>
  <r>
    <x v="0"/>
    <n v="28"/>
    <s v="TAMPS"/>
    <x v="27"/>
    <s v="2015-2016"/>
    <x v="5"/>
    <n v="9004"/>
    <n v="3517"/>
    <n v="5487"/>
    <n v="53858"/>
    <n v="147"/>
    <n v="22"/>
    <n v="49"/>
    <n v="7552"/>
    <n v="187329.31487792477"/>
    <n v="3948"/>
    <n v="9281"/>
    <n v="2277"/>
    <m/>
    <m/>
    <n v="4147"/>
    <n v="2058"/>
    <n v="1728"/>
    <n v="1542"/>
    <n v="9004"/>
    <n v="151650427"/>
    <n v="402"/>
    <n v="955"/>
    <n v="5910"/>
    <n v="12"/>
    <m/>
    <m/>
    <m/>
    <n v="82"/>
    <n v="218"/>
    <m/>
    <m/>
    <m/>
    <m/>
    <m/>
    <m/>
    <m/>
    <m/>
    <m/>
    <m/>
    <m/>
    <m/>
    <m/>
    <m/>
    <m/>
    <m/>
  </r>
  <r>
    <x v="0"/>
    <n v="29"/>
    <s v="TLAX"/>
    <x v="28"/>
    <s v="2015-2016"/>
    <x v="5"/>
    <n v="2848"/>
    <n v="1143"/>
    <n v="1705"/>
    <n v="21334"/>
    <n v="43"/>
    <n v="11"/>
    <n v="17"/>
    <n v="2482"/>
    <n v="73772.184412816365"/>
    <n v="1320"/>
    <n v="3081"/>
    <n v="758"/>
    <m/>
    <m/>
    <n v="1332"/>
    <n v="655"/>
    <n v="618"/>
    <n v="598"/>
    <n v="2848"/>
    <n v="36948468"/>
    <n v="175"/>
    <n v="372"/>
    <n v="19"/>
    <n v="75"/>
    <m/>
    <m/>
    <m/>
    <n v="0"/>
    <m/>
    <m/>
    <m/>
    <m/>
    <m/>
    <m/>
    <m/>
    <m/>
    <m/>
    <m/>
    <m/>
    <m/>
    <m/>
    <m/>
    <m/>
    <m/>
    <m/>
  </r>
  <r>
    <x v="0"/>
    <n v="30"/>
    <s v="VER"/>
    <x v="29"/>
    <s v="2015-2016"/>
    <x v="5"/>
    <n v="9327"/>
    <n v="3736"/>
    <n v="5591"/>
    <n v="132416"/>
    <n v="175"/>
    <n v="36"/>
    <n v="74"/>
    <n v="7800"/>
    <n v="447313.21251631447"/>
    <n v="5338"/>
    <n v="9124"/>
    <n v="2493"/>
    <m/>
    <m/>
    <n v="3711"/>
    <n v="2271"/>
    <n v="2162"/>
    <n v="2057"/>
    <n v="9327"/>
    <n v="198977232"/>
    <n v="562"/>
    <n v="1217"/>
    <n v="4165"/>
    <n v="234"/>
    <m/>
    <m/>
    <m/>
    <n v="842"/>
    <n v="554"/>
    <m/>
    <m/>
    <m/>
    <m/>
    <m/>
    <m/>
    <m/>
    <m/>
    <m/>
    <m/>
    <m/>
    <m/>
    <m/>
    <m/>
    <m/>
    <m/>
  </r>
  <r>
    <x v="0"/>
    <n v="31"/>
    <s v="YUC"/>
    <x v="30"/>
    <s v="2015-2016"/>
    <x v="5"/>
    <n v="4839"/>
    <n v="1913"/>
    <n v="2926"/>
    <n v="30873"/>
    <n v="63"/>
    <n v="14"/>
    <n v="24"/>
    <n v="3433"/>
    <n v="111391.49791559768"/>
    <n v="2466"/>
    <n v="4704"/>
    <n v="1071"/>
    <m/>
    <m/>
    <n v="1708"/>
    <n v="899"/>
    <n v="849"/>
    <n v="711"/>
    <n v="4839"/>
    <n v="88468761"/>
    <n v="272"/>
    <n v="360"/>
    <n v="2172"/>
    <n v="163"/>
    <m/>
    <m/>
    <m/>
    <n v="956"/>
    <m/>
    <m/>
    <m/>
    <m/>
    <m/>
    <m/>
    <m/>
    <m/>
    <m/>
    <m/>
    <m/>
    <m/>
    <m/>
    <m/>
    <m/>
    <m/>
    <m/>
  </r>
  <r>
    <x v="0"/>
    <n v="32"/>
    <s v="ZAC"/>
    <x v="31"/>
    <s v="2015-2016"/>
    <x v="5"/>
    <n v="1719"/>
    <n v="779"/>
    <n v="940"/>
    <n v="25816"/>
    <n v="46"/>
    <n v="16"/>
    <n v="7"/>
    <n v="1313"/>
    <n v="90808.802607902966"/>
    <n v="882"/>
    <n v="1694"/>
    <n v="309"/>
    <m/>
    <m/>
    <n v="767"/>
    <n v="267"/>
    <n v="276"/>
    <n v="271"/>
    <n v="1719"/>
    <n v="32276523"/>
    <n v="84"/>
    <n v="164"/>
    <n v="1767"/>
    <n v="454"/>
    <m/>
    <m/>
    <m/>
    <n v="370"/>
    <m/>
    <m/>
    <m/>
    <m/>
    <m/>
    <m/>
    <m/>
    <m/>
    <m/>
    <m/>
    <m/>
    <m/>
    <m/>
    <m/>
    <m/>
    <m/>
    <m/>
  </r>
  <r>
    <x v="2"/>
    <n v="33"/>
    <s v="OTRO"/>
    <x v="32"/>
    <s v="2015-2016"/>
    <x v="5"/>
    <m/>
    <m/>
    <m/>
    <m/>
    <m/>
    <m/>
    <m/>
    <m/>
    <m/>
    <m/>
    <m/>
    <m/>
    <m/>
    <m/>
    <m/>
    <m/>
    <m/>
    <m/>
    <m/>
    <m/>
    <m/>
    <m/>
    <m/>
    <m/>
    <m/>
    <m/>
    <m/>
    <n v="112"/>
    <m/>
    <m/>
    <m/>
    <m/>
    <m/>
    <m/>
    <m/>
    <m/>
    <m/>
    <m/>
    <m/>
    <m/>
    <m/>
    <m/>
    <m/>
    <m/>
    <m/>
  </r>
  <r>
    <x v="1"/>
    <n v="0"/>
    <s v="ON"/>
    <x v="33"/>
    <s v="2015-2016"/>
    <x v="5"/>
    <m/>
    <m/>
    <m/>
    <m/>
    <m/>
    <m/>
    <m/>
    <m/>
    <m/>
    <m/>
    <m/>
    <m/>
    <m/>
    <m/>
    <m/>
    <m/>
    <m/>
    <m/>
    <m/>
    <m/>
    <m/>
    <m/>
    <m/>
    <m/>
    <m/>
    <m/>
    <m/>
    <n v="195"/>
    <m/>
    <n v="299517.17913"/>
    <n v="1430230.9999999998"/>
    <n v="1430230.9999999998"/>
    <n v="1425327.2999999998"/>
    <n v="1358327.2999999998"/>
    <n v="1358327.2999999998"/>
    <n v="1409572.0999999999"/>
    <n v="1404668.4"/>
    <n v="20658.900000000001"/>
    <n v="20658.900000000001"/>
    <n v="71903.7"/>
    <n v="1430230.9999999998"/>
    <n v="60560.5"/>
    <n v="67000"/>
    <n v="1430230.9999999998"/>
    <n v="1425327.2999999998"/>
  </r>
  <r>
    <x v="0"/>
    <n v="1"/>
    <s v="AGS"/>
    <x v="0"/>
    <s v="2016-2017"/>
    <x v="6"/>
    <n v="4628"/>
    <n v="1649"/>
    <n v="2979"/>
    <n v="24872"/>
    <n v="91"/>
    <m/>
    <m/>
    <n v="4274"/>
    <n v="75552.523142201011"/>
    <n v="1783"/>
    <n v="4664"/>
    <n v="1160"/>
    <m/>
    <m/>
    <n v="1749"/>
    <n v="1021"/>
    <n v="1091"/>
    <n v="995"/>
    <n v="4628"/>
    <n v="61233430.649999999"/>
    <n v="287"/>
    <n v="429"/>
    <n v="2520"/>
    <n v="258"/>
    <m/>
    <m/>
    <m/>
    <n v="1257"/>
    <m/>
    <m/>
    <m/>
    <m/>
    <m/>
    <m/>
    <m/>
    <m/>
    <m/>
    <m/>
    <m/>
    <m/>
    <m/>
    <m/>
    <m/>
    <m/>
    <m/>
  </r>
  <r>
    <x v="0"/>
    <n v="2"/>
    <s v="BC"/>
    <x v="1"/>
    <s v="2016-2017"/>
    <x v="6"/>
    <n v="8090"/>
    <n v="3472"/>
    <n v="4618"/>
    <n v="65797"/>
    <n v="123"/>
    <m/>
    <m/>
    <n v="6273"/>
    <n v="189249.65677378187"/>
    <n v="4316"/>
    <n v="8256"/>
    <n v="1592"/>
    <m/>
    <m/>
    <n v="3120"/>
    <n v="1348"/>
    <n v="1519"/>
    <n v="1367"/>
    <n v="8090"/>
    <n v="130855822.47"/>
    <n v="378"/>
    <n v="749"/>
    <n v="2060"/>
    <n v="49"/>
    <m/>
    <m/>
    <m/>
    <n v="12"/>
    <n v="248"/>
    <m/>
    <m/>
    <m/>
    <m/>
    <m/>
    <m/>
    <m/>
    <m/>
    <m/>
    <m/>
    <m/>
    <m/>
    <m/>
    <m/>
    <m/>
    <m/>
  </r>
  <r>
    <x v="0"/>
    <n v="3"/>
    <s v="BCS"/>
    <x v="2"/>
    <s v="2016-2017"/>
    <x v="6"/>
    <n v="1878"/>
    <n v="795"/>
    <n v="1083"/>
    <n v="13365"/>
    <n v="18"/>
    <m/>
    <m/>
    <n v="1353"/>
    <n v="41053.964711196735"/>
    <n v="1070"/>
    <n v="1875"/>
    <n v="549"/>
    <m/>
    <m/>
    <n v="884"/>
    <n v="455"/>
    <n v="429"/>
    <n v="412"/>
    <n v="1878"/>
    <n v="32845717.109999999"/>
    <n v="91"/>
    <n v="217"/>
    <n v="1141"/>
    <n v="52"/>
    <m/>
    <m/>
    <m/>
    <n v="0"/>
    <m/>
    <m/>
    <m/>
    <m/>
    <m/>
    <m/>
    <m/>
    <m/>
    <m/>
    <m/>
    <m/>
    <m/>
    <m/>
    <m/>
    <m/>
    <m/>
    <m/>
  </r>
  <r>
    <x v="0"/>
    <n v="4"/>
    <s v="CAMP"/>
    <x v="3"/>
    <s v="2016-2017"/>
    <x v="6"/>
    <n v="1835"/>
    <n v="694"/>
    <n v="1141"/>
    <n v="13650"/>
    <n v="40"/>
    <m/>
    <m/>
    <n v="1231"/>
    <n v="48515.428270691897"/>
    <n v="845"/>
    <n v="1890"/>
    <n v="394"/>
    <m/>
    <m/>
    <n v="799"/>
    <n v="337"/>
    <n v="367"/>
    <n v="317"/>
    <n v="1835"/>
    <n v="39270163.579999998"/>
    <n v="106"/>
    <n v="331"/>
    <n v="209"/>
    <n v="69"/>
    <m/>
    <m/>
    <m/>
    <n v="227"/>
    <m/>
    <m/>
    <m/>
    <m/>
    <m/>
    <m/>
    <m/>
    <m/>
    <m/>
    <m/>
    <m/>
    <m/>
    <m/>
    <m/>
    <m/>
    <m/>
    <m/>
  </r>
  <r>
    <x v="0"/>
    <n v="7"/>
    <s v="CHIAP"/>
    <x v="4"/>
    <s v="2016-2017"/>
    <x v="6"/>
    <n v="7553"/>
    <n v="2843"/>
    <n v="4710"/>
    <n v="95696"/>
    <n v="167"/>
    <m/>
    <m/>
    <n v="6204"/>
    <n v="340247.31517651619"/>
    <n v="3471"/>
    <n v="7432"/>
    <n v="1925"/>
    <m/>
    <m/>
    <n v="3054"/>
    <n v="1704"/>
    <n v="1634"/>
    <n v="1474"/>
    <n v="7553"/>
    <n v="150972766.46000001"/>
    <n v="417"/>
    <n v="714"/>
    <n v="3261"/>
    <n v="126"/>
    <m/>
    <m/>
    <m/>
    <n v="459"/>
    <m/>
    <m/>
    <m/>
    <m/>
    <m/>
    <m/>
    <m/>
    <m/>
    <m/>
    <m/>
    <m/>
    <m/>
    <m/>
    <m/>
    <m/>
    <m/>
    <m/>
  </r>
  <r>
    <x v="0"/>
    <n v="8"/>
    <s v="CHIH"/>
    <x v="5"/>
    <s v="2016-2017"/>
    <x v="6"/>
    <n v="9095"/>
    <n v="3667"/>
    <n v="5428"/>
    <n v="58384"/>
    <n v="157"/>
    <m/>
    <m/>
    <n v="8007"/>
    <n v="202549.85077126772"/>
    <n v="4481"/>
    <n v="9712"/>
    <n v="2136"/>
    <m/>
    <m/>
    <n v="3670"/>
    <n v="1887"/>
    <n v="1992"/>
    <n v="1832"/>
    <n v="9095"/>
    <n v="145516960.11000001"/>
    <n v="595"/>
    <n v="983"/>
    <n v="2090"/>
    <n v="459"/>
    <m/>
    <m/>
    <m/>
    <n v="171"/>
    <n v="830"/>
    <m/>
    <m/>
    <m/>
    <m/>
    <m/>
    <m/>
    <m/>
    <m/>
    <m/>
    <m/>
    <m/>
    <m/>
    <m/>
    <m/>
    <m/>
    <m/>
  </r>
  <r>
    <x v="1"/>
    <n v="9"/>
    <s v="CDMX"/>
    <x v="6"/>
    <s v="2016-2017"/>
    <x v="6"/>
    <n v="44532"/>
    <n v="19341"/>
    <n v="25191"/>
    <n v="149092"/>
    <n v="578"/>
    <m/>
    <m/>
    <n v="35070"/>
    <n v="398626.75142456184"/>
    <n v="25391"/>
    <n v="44572"/>
    <n v="8176"/>
    <m/>
    <m/>
    <n v="17832"/>
    <n v="6851"/>
    <n v="6975"/>
    <n v="4488"/>
    <n v="44532"/>
    <n v="712523049.10000002"/>
    <n v="2139"/>
    <n v="3705"/>
    <n v="9656"/>
    <n v="498"/>
    <m/>
    <m/>
    <m/>
    <n v="409"/>
    <m/>
    <m/>
    <m/>
    <m/>
    <m/>
    <m/>
    <m/>
    <m/>
    <m/>
    <m/>
    <m/>
    <m/>
    <m/>
    <m/>
    <m/>
    <m/>
    <m/>
  </r>
  <r>
    <x v="0"/>
    <n v="5"/>
    <s v="COAH"/>
    <x v="7"/>
    <s v="2016-2017"/>
    <x v="6"/>
    <n v="9358"/>
    <n v="3694"/>
    <n v="5664"/>
    <n v="45461"/>
    <n v="134"/>
    <m/>
    <m/>
    <n v="7882"/>
    <n v="164049.17509195409"/>
    <n v="4894"/>
    <n v="8924"/>
    <n v="1884"/>
    <m/>
    <m/>
    <n v="3155"/>
    <n v="1717"/>
    <n v="1732"/>
    <n v="1678"/>
    <n v="9358"/>
    <n v="142365785.33000001"/>
    <n v="425"/>
    <n v="1141"/>
    <n v="1777"/>
    <n v="110"/>
    <m/>
    <m/>
    <m/>
    <n v="29"/>
    <m/>
    <m/>
    <m/>
    <m/>
    <m/>
    <m/>
    <m/>
    <m/>
    <m/>
    <m/>
    <m/>
    <m/>
    <m/>
    <m/>
    <m/>
    <m/>
    <m/>
  </r>
  <r>
    <x v="0"/>
    <n v="6"/>
    <s v="COL"/>
    <x v="8"/>
    <s v="2016-2017"/>
    <x v="6"/>
    <n v="1986"/>
    <n v="861"/>
    <n v="1125"/>
    <n v="10098"/>
    <n v="48"/>
    <m/>
    <m/>
    <n v="1204"/>
    <n v="37875.704792408171"/>
    <n v="987"/>
    <n v="1904"/>
    <n v="357"/>
    <m/>
    <m/>
    <n v="813"/>
    <n v="288"/>
    <n v="313"/>
    <n v="291"/>
    <n v="1986"/>
    <n v="39698810.590000004"/>
    <n v="116"/>
    <n v="320"/>
    <n v="446"/>
    <n v="53"/>
    <m/>
    <m/>
    <m/>
    <n v="2"/>
    <m/>
    <m/>
    <m/>
    <m/>
    <m/>
    <m/>
    <m/>
    <m/>
    <m/>
    <m/>
    <m/>
    <m/>
    <m/>
    <m/>
    <m/>
    <m/>
    <m/>
  </r>
  <r>
    <x v="0"/>
    <n v="10"/>
    <s v="DGO"/>
    <x v="9"/>
    <s v="2016-2017"/>
    <x v="6"/>
    <n v="2142"/>
    <n v="853"/>
    <n v="1289"/>
    <n v="28138"/>
    <n v="52"/>
    <m/>
    <m/>
    <n v="1732"/>
    <n v="103161.14488961299"/>
    <n v="989"/>
    <n v="2338"/>
    <n v="457"/>
    <m/>
    <m/>
    <n v="1022"/>
    <n v="403"/>
    <n v="435"/>
    <n v="328"/>
    <n v="2142"/>
    <n v="38851853.909999996"/>
    <n v="152"/>
    <n v="260"/>
    <n v="836"/>
    <n v="19"/>
    <m/>
    <m/>
    <m/>
    <n v="1"/>
    <m/>
    <m/>
    <m/>
    <m/>
    <m/>
    <m/>
    <m/>
    <m/>
    <m/>
    <m/>
    <m/>
    <m/>
    <m/>
    <m/>
    <m/>
    <m/>
    <m/>
  </r>
  <r>
    <x v="0"/>
    <n v="11"/>
    <s v="GTO"/>
    <x v="10"/>
    <s v="2016-2017"/>
    <x v="6"/>
    <n v="17266"/>
    <n v="7056"/>
    <n v="10210"/>
    <n v="101972"/>
    <n v="288"/>
    <m/>
    <m/>
    <n v="13982"/>
    <n v="343052.59941082727"/>
    <n v="9987"/>
    <n v="17490"/>
    <n v="5020"/>
    <m/>
    <m/>
    <n v="8079"/>
    <n v="4743"/>
    <n v="4179"/>
    <n v="4061"/>
    <n v="17266"/>
    <n v="232530027.75999999"/>
    <n v="882"/>
    <n v="2187"/>
    <n v="14908"/>
    <n v="724"/>
    <m/>
    <m/>
    <m/>
    <n v="1341"/>
    <n v="10325"/>
    <m/>
    <m/>
    <m/>
    <m/>
    <m/>
    <m/>
    <m/>
    <m/>
    <m/>
    <m/>
    <m/>
    <m/>
    <m/>
    <m/>
    <m/>
    <m/>
  </r>
  <r>
    <x v="0"/>
    <n v="12"/>
    <s v="GRO"/>
    <x v="11"/>
    <s v="2016-2017"/>
    <x v="6"/>
    <n v="6290"/>
    <n v="2388"/>
    <n v="3902"/>
    <n v="67377"/>
    <n v="128"/>
    <m/>
    <m/>
    <n v="4921"/>
    <n v="223862.11018434755"/>
    <n v="3307"/>
    <n v="6612"/>
    <n v="1495"/>
    <m/>
    <m/>
    <n v="2731"/>
    <n v="1363"/>
    <n v="1457"/>
    <n v="928"/>
    <n v="6290"/>
    <n v="126521394.34999999"/>
    <n v="314"/>
    <n v="719"/>
    <n v="1707"/>
    <n v="680"/>
    <m/>
    <m/>
    <m/>
    <n v="1021"/>
    <m/>
    <m/>
    <m/>
    <m/>
    <m/>
    <m/>
    <m/>
    <m/>
    <m/>
    <m/>
    <m/>
    <m/>
    <m/>
    <m/>
    <m/>
    <m/>
    <m/>
  </r>
  <r>
    <x v="0"/>
    <n v="13"/>
    <s v="HGO"/>
    <x v="12"/>
    <s v="2016-2017"/>
    <x v="6"/>
    <n v="3715"/>
    <n v="1609"/>
    <n v="2106"/>
    <n v="53656"/>
    <n v="71"/>
    <m/>
    <m/>
    <n v="3240"/>
    <n v="160914.50700483442"/>
    <n v="1987"/>
    <n v="3713"/>
    <n v="836"/>
    <m/>
    <m/>
    <n v="1716"/>
    <n v="710"/>
    <n v="691"/>
    <n v="684"/>
    <n v="3715"/>
    <n v="60800287.82"/>
    <n v="213"/>
    <n v="428"/>
    <n v="839"/>
    <n v="512"/>
    <m/>
    <m/>
    <m/>
    <n v="183"/>
    <m/>
    <m/>
    <m/>
    <m/>
    <m/>
    <m/>
    <m/>
    <m/>
    <m/>
    <m/>
    <m/>
    <m/>
    <m/>
    <m/>
    <m/>
    <m/>
    <m/>
  </r>
  <r>
    <x v="0"/>
    <n v="14"/>
    <s v="JAL"/>
    <x v="13"/>
    <s v="2016-2017"/>
    <x v="6"/>
    <n v="14712"/>
    <n v="5788"/>
    <n v="8924"/>
    <n v="134735"/>
    <n v="276"/>
    <m/>
    <m/>
    <n v="11181"/>
    <n v="434016.99044479663"/>
    <n v="6016"/>
    <n v="14614"/>
    <n v="3200"/>
    <m/>
    <m/>
    <n v="5644"/>
    <n v="2841"/>
    <n v="3081"/>
    <n v="2825"/>
    <n v="14712"/>
    <n v="246794917.25"/>
    <n v="865"/>
    <n v="2084"/>
    <n v="5689"/>
    <n v="422"/>
    <m/>
    <m/>
    <m/>
    <n v="33"/>
    <n v="523"/>
    <m/>
    <m/>
    <m/>
    <m/>
    <m/>
    <m/>
    <m/>
    <m/>
    <m/>
    <m/>
    <m/>
    <m/>
    <m/>
    <m/>
    <m/>
    <m/>
  </r>
  <r>
    <x v="0"/>
    <n v="15"/>
    <s v="MEX"/>
    <x v="14"/>
    <s v="2016-2017"/>
    <x v="6"/>
    <n v="48274"/>
    <n v="20110"/>
    <n v="28164"/>
    <n v="282972"/>
    <n v="777"/>
    <m/>
    <m/>
    <n v="41167"/>
    <n v="912434.1330424099"/>
    <n v="30447"/>
    <n v="47574"/>
    <n v="9775"/>
    <m/>
    <m/>
    <n v="19346"/>
    <n v="8197"/>
    <n v="8432"/>
    <n v="7119"/>
    <n v="48274"/>
    <n v="719471475.25999999"/>
    <n v="2301"/>
    <n v="4445"/>
    <n v="10044"/>
    <n v="1523"/>
    <m/>
    <m/>
    <m/>
    <n v="21394"/>
    <n v="928"/>
    <m/>
    <m/>
    <m/>
    <m/>
    <m/>
    <m/>
    <m/>
    <m/>
    <m/>
    <m/>
    <m/>
    <m/>
    <m/>
    <m/>
    <m/>
    <m/>
  </r>
  <r>
    <x v="0"/>
    <n v="16"/>
    <s v="MICH"/>
    <x v="15"/>
    <s v="2016-2017"/>
    <x v="6"/>
    <n v="11186"/>
    <n v="4617"/>
    <n v="6569"/>
    <n v="71545"/>
    <n v="219"/>
    <m/>
    <m/>
    <n v="9228"/>
    <n v="260237.037837757"/>
    <n v="5759"/>
    <n v="11182"/>
    <n v="2812"/>
    <m/>
    <m/>
    <n v="4749"/>
    <n v="2396"/>
    <n v="2482"/>
    <n v="2207"/>
    <n v="11186"/>
    <n v="196792051.69999999"/>
    <n v="461"/>
    <n v="1204"/>
    <n v="1852"/>
    <n v="450"/>
    <m/>
    <m/>
    <m/>
    <n v="39"/>
    <m/>
    <m/>
    <m/>
    <m/>
    <m/>
    <m/>
    <m/>
    <m/>
    <m/>
    <m/>
    <m/>
    <m/>
    <m/>
    <m/>
    <m/>
    <m/>
    <m/>
  </r>
  <r>
    <x v="0"/>
    <n v="17"/>
    <s v="MOR"/>
    <x v="16"/>
    <s v="2016-2017"/>
    <x v="6"/>
    <n v="4719"/>
    <n v="2007"/>
    <n v="2712"/>
    <n v="37387"/>
    <n v="72"/>
    <m/>
    <m/>
    <n v="3808"/>
    <n v="102090.35270232501"/>
    <n v="2557"/>
    <n v="4599"/>
    <n v="1143"/>
    <m/>
    <m/>
    <n v="1832"/>
    <n v="1040"/>
    <n v="1130"/>
    <n v="1030"/>
    <n v="4719"/>
    <n v="66564926.93"/>
    <n v="243"/>
    <n v="532"/>
    <n v="902"/>
    <n v="539"/>
    <m/>
    <m/>
    <m/>
    <n v="1860"/>
    <m/>
    <m/>
    <m/>
    <m/>
    <m/>
    <m/>
    <m/>
    <m/>
    <m/>
    <m/>
    <m/>
    <m/>
    <m/>
    <m/>
    <m/>
    <m/>
    <m/>
  </r>
  <r>
    <x v="0"/>
    <n v="18"/>
    <s v="NAY"/>
    <x v="17"/>
    <s v="2016-2017"/>
    <x v="6"/>
    <n v="3195"/>
    <n v="1407"/>
    <n v="1788"/>
    <n v="23258"/>
    <n v="61"/>
    <m/>
    <m/>
    <n v="2775"/>
    <n v="66472.42397422815"/>
    <n v="1704"/>
    <n v="3019"/>
    <n v="717"/>
    <m/>
    <m/>
    <n v="1236"/>
    <n v="639"/>
    <n v="620"/>
    <n v="600"/>
    <n v="3195"/>
    <n v="50186140.68"/>
    <n v="123"/>
    <n v="361"/>
    <n v="609"/>
    <n v="25"/>
    <m/>
    <m/>
    <m/>
    <n v="0"/>
    <m/>
    <m/>
    <m/>
    <m/>
    <m/>
    <m/>
    <m/>
    <m/>
    <m/>
    <m/>
    <m/>
    <m/>
    <m/>
    <m/>
    <m/>
    <m/>
    <m/>
  </r>
  <r>
    <x v="0"/>
    <n v="19"/>
    <s v="NL"/>
    <x v="18"/>
    <s v="2016-2017"/>
    <x v="6"/>
    <n v="20067"/>
    <n v="9082"/>
    <n v="10985"/>
    <n v="90665"/>
    <n v="270"/>
    <m/>
    <m/>
    <n v="16187"/>
    <n v="264210.40940151631"/>
    <n v="11690"/>
    <n v="18667"/>
    <n v="4003"/>
    <m/>
    <m/>
    <n v="7514"/>
    <n v="3684"/>
    <n v="3797"/>
    <n v="3715"/>
    <n v="20067"/>
    <n v="206380341.27000001"/>
    <n v="989"/>
    <n v="1549"/>
    <n v="44247"/>
    <n v="1812"/>
    <m/>
    <m/>
    <m/>
    <n v="40750"/>
    <n v="459"/>
    <m/>
    <m/>
    <m/>
    <m/>
    <m/>
    <m/>
    <m/>
    <m/>
    <m/>
    <m/>
    <m/>
    <m/>
    <m/>
    <m/>
    <m/>
    <m/>
  </r>
  <r>
    <x v="1"/>
    <n v="20"/>
    <s v="OAX"/>
    <x v="19"/>
    <s v="2016-2017"/>
    <x v="6"/>
    <n v="6379"/>
    <n v="2505"/>
    <n v="3874"/>
    <n v="64804"/>
    <n v="127"/>
    <m/>
    <m/>
    <n v="5165"/>
    <n v="238629.8246244514"/>
    <n v="3009"/>
    <n v="6301"/>
    <n v="1392"/>
    <m/>
    <m/>
    <n v="2396"/>
    <n v="1203"/>
    <n v="1316"/>
    <n v="791"/>
    <n v="6379"/>
    <n v="161102864.30000001"/>
    <n v="392"/>
    <n v="637"/>
    <n v="2334"/>
    <n v="26"/>
    <m/>
    <m/>
    <m/>
    <n v="70"/>
    <m/>
    <m/>
    <m/>
    <m/>
    <m/>
    <m/>
    <m/>
    <m/>
    <m/>
    <m/>
    <m/>
    <m/>
    <m/>
    <m/>
    <m/>
    <m/>
    <m/>
  </r>
  <r>
    <x v="0"/>
    <n v="21"/>
    <s v="PUE"/>
    <x v="20"/>
    <s v="2016-2017"/>
    <x v="6"/>
    <n v="7260"/>
    <n v="2814"/>
    <n v="4446"/>
    <n v="112511"/>
    <n v="161"/>
    <m/>
    <m/>
    <n v="6045"/>
    <n v="365819.68174850667"/>
    <n v="3966"/>
    <n v="7128"/>
    <n v="1880"/>
    <m/>
    <m/>
    <n v="2813"/>
    <n v="1681"/>
    <n v="1602"/>
    <n v="1494"/>
    <n v="7260"/>
    <n v="142747445.18000001"/>
    <n v="396"/>
    <n v="1005"/>
    <n v="5771"/>
    <n v="160"/>
    <m/>
    <m/>
    <m/>
    <n v="3613"/>
    <m/>
    <m/>
    <m/>
    <m/>
    <m/>
    <m/>
    <m/>
    <m/>
    <m/>
    <m/>
    <m/>
    <m/>
    <m/>
    <m/>
    <m/>
    <m/>
    <m/>
  </r>
  <r>
    <x v="0"/>
    <n v="22"/>
    <s v="QRO"/>
    <x v="21"/>
    <s v="2016-2017"/>
    <x v="6"/>
    <n v="3418"/>
    <n v="1359"/>
    <n v="2059"/>
    <n v="38223"/>
    <n v="66"/>
    <m/>
    <m/>
    <n v="2773"/>
    <n v="113220.15701172216"/>
    <n v="2344"/>
    <n v="3482"/>
    <n v="806"/>
    <m/>
    <m/>
    <n v="1347"/>
    <n v="754"/>
    <n v="715"/>
    <n v="670"/>
    <n v="3418"/>
    <n v="44110957.090000004"/>
    <n v="273"/>
    <n v="449"/>
    <n v="1056"/>
    <n v="99"/>
    <m/>
    <m/>
    <m/>
    <n v="7"/>
    <m/>
    <m/>
    <m/>
    <m/>
    <m/>
    <m/>
    <m/>
    <m/>
    <m/>
    <m/>
    <m/>
    <m/>
    <m/>
    <m/>
    <m/>
    <m/>
    <m/>
  </r>
  <r>
    <x v="0"/>
    <n v="23"/>
    <s v="QROO"/>
    <x v="22"/>
    <s v="2016-2017"/>
    <x v="6"/>
    <n v="8129"/>
    <n v="3453"/>
    <n v="4676"/>
    <n v="25788"/>
    <n v="109"/>
    <m/>
    <m/>
    <n v="6630"/>
    <n v="83021.163387304725"/>
    <n v="4139"/>
    <n v="8052"/>
    <n v="2031"/>
    <m/>
    <m/>
    <n v="3422"/>
    <n v="1830"/>
    <n v="2146"/>
    <n v="2025"/>
    <n v="8129"/>
    <n v="95403303.569999993"/>
    <n v="403"/>
    <n v="771"/>
    <n v="101"/>
    <n v="13"/>
    <m/>
    <m/>
    <m/>
    <n v="73"/>
    <m/>
    <m/>
    <m/>
    <m/>
    <m/>
    <m/>
    <m/>
    <m/>
    <m/>
    <m/>
    <m/>
    <m/>
    <m/>
    <m/>
    <m/>
    <m/>
    <m/>
  </r>
  <r>
    <x v="0"/>
    <n v="24"/>
    <s v="SLP"/>
    <x v="23"/>
    <s v="2016-2017"/>
    <x v="6"/>
    <n v="5400"/>
    <n v="2244"/>
    <n v="3156"/>
    <n v="49538"/>
    <n v="90"/>
    <m/>
    <m/>
    <n v="4212"/>
    <n v="160457.85376460687"/>
    <n v="2723"/>
    <n v="5220"/>
    <n v="1143"/>
    <m/>
    <m/>
    <n v="2113"/>
    <n v="980"/>
    <n v="1065"/>
    <n v="1005"/>
    <n v="5400"/>
    <n v="83475628.680000007"/>
    <n v="288"/>
    <n v="427"/>
    <n v="4290"/>
    <n v="71"/>
    <m/>
    <m/>
    <m/>
    <n v="282"/>
    <m/>
    <m/>
    <m/>
    <m/>
    <m/>
    <m/>
    <m/>
    <m/>
    <m/>
    <m/>
    <m/>
    <m/>
    <m/>
    <m/>
    <m/>
    <m/>
    <m/>
  </r>
  <r>
    <x v="0"/>
    <n v="25"/>
    <s v="SIN"/>
    <x v="24"/>
    <s v="2016-2017"/>
    <x v="6"/>
    <n v="7854"/>
    <n v="2997"/>
    <n v="4857"/>
    <n v="43587"/>
    <n v="216"/>
    <m/>
    <m/>
    <n v="6793"/>
    <n v="164736.19777176625"/>
    <n v="3401"/>
    <n v="8506"/>
    <n v="2539"/>
    <m/>
    <m/>
    <n v="3734"/>
    <n v="2335"/>
    <n v="2267"/>
    <n v="2224"/>
    <n v="7854"/>
    <n v="211443635.19"/>
    <n v="525"/>
    <n v="1117"/>
    <n v="331"/>
    <n v="53"/>
    <m/>
    <m/>
    <m/>
    <n v="12"/>
    <m/>
    <m/>
    <m/>
    <m/>
    <m/>
    <m/>
    <m/>
    <m/>
    <m/>
    <m/>
    <m/>
    <m/>
    <m/>
    <m/>
    <m/>
    <m/>
    <m/>
  </r>
  <r>
    <x v="0"/>
    <n v="26"/>
    <s v="SON"/>
    <x v="25"/>
    <s v="2016-2017"/>
    <x v="6"/>
    <n v="15385"/>
    <n v="7175"/>
    <n v="8210"/>
    <n v="59864"/>
    <n v="258"/>
    <m/>
    <m/>
    <n v="12734"/>
    <n v="159265.55746443506"/>
    <n v="7310"/>
    <n v="14044"/>
    <n v="2786"/>
    <m/>
    <m/>
    <n v="5501"/>
    <n v="2385"/>
    <n v="2143"/>
    <n v="1816"/>
    <n v="15385"/>
    <n v="214571296.80000001"/>
    <n v="570"/>
    <n v="857"/>
    <n v="7200"/>
    <n v="587"/>
    <m/>
    <m/>
    <m/>
    <n v="0"/>
    <m/>
    <m/>
    <m/>
    <m/>
    <m/>
    <m/>
    <m/>
    <m/>
    <m/>
    <m/>
    <m/>
    <m/>
    <m/>
    <m/>
    <m/>
    <m/>
    <m/>
  </r>
  <r>
    <x v="0"/>
    <n v="27"/>
    <s v="TAB"/>
    <x v="26"/>
    <s v="2016-2017"/>
    <x v="6"/>
    <n v="5584"/>
    <n v="2109"/>
    <n v="3475"/>
    <n v="41493"/>
    <n v="76"/>
    <m/>
    <m/>
    <n v="4726"/>
    <n v="133909.77929229953"/>
    <n v="2169"/>
    <n v="5739"/>
    <n v="1492"/>
    <m/>
    <m/>
    <n v="2164"/>
    <n v="1341"/>
    <n v="1319"/>
    <n v="1268"/>
    <n v="5584"/>
    <n v="106609849.48"/>
    <n v="293"/>
    <n v="484"/>
    <n v="1976"/>
    <n v="129"/>
    <m/>
    <m/>
    <m/>
    <n v="28"/>
    <m/>
    <m/>
    <m/>
    <m/>
    <m/>
    <m/>
    <m/>
    <m/>
    <m/>
    <m/>
    <m/>
    <m/>
    <m/>
    <m/>
    <m/>
    <m/>
    <m/>
  </r>
  <r>
    <x v="0"/>
    <n v="28"/>
    <s v="TAMPS"/>
    <x v="27"/>
    <s v="2016-2017"/>
    <x v="6"/>
    <n v="8929"/>
    <n v="3648"/>
    <n v="5281"/>
    <n v="57183"/>
    <n v="157"/>
    <m/>
    <m/>
    <n v="7552"/>
    <n v="187483.87275360705"/>
    <n v="4049"/>
    <n v="9004"/>
    <n v="2056"/>
    <m/>
    <m/>
    <n v="3644"/>
    <n v="1856"/>
    <n v="2058"/>
    <n v="1851"/>
    <n v="8929"/>
    <n v="165592499.62"/>
    <n v="397"/>
    <n v="1077"/>
    <n v="3556"/>
    <n v="82"/>
    <m/>
    <m/>
    <m/>
    <n v="110"/>
    <n v="692"/>
    <m/>
    <m/>
    <m/>
    <m/>
    <m/>
    <m/>
    <m/>
    <m/>
    <m/>
    <m/>
    <m/>
    <m/>
    <m/>
    <m/>
    <m/>
    <m/>
  </r>
  <r>
    <x v="0"/>
    <n v="29"/>
    <s v="TLAX"/>
    <x v="28"/>
    <s v="2016-2017"/>
    <x v="6"/>
    <n v="3036"/>
    <n v="1333"/>
    <n v="1703"/>
    <n v="24542"/>
    <n v="48"/>
    <m/>
    <m/>
    <n v="2707"/>
    <n v="74007.270653160027"/>
    <n v="1482"/>
    <n v="2848"/>
    <n v="730"/>
    <m/>
    <m/>
    <n v="1269"/>
    <n v="604"/>
    <n v="655"/>
    <n v="653"/>
    <n v="3036"/>
    <n v="40424161.539999999"/>
    <n v="172"/>
    <n v="455"/>
    <n v="59"/>
    <n v="42"/>
    <m/>
    <m/>
    <m/>
    <n v="56"/>
    <m/>
    <m/>
    <m/>
    <m/>
    <m/>
    <m/>
    <m/>
    <m/>
    <m/>
    <m/>
    <m/>
    <m/>
    <m/>
    <m/>
    <m/>
    <m/>
    <m/>
  </r>
  <r>
    <x v="0"/>
    <n v="30"/>
    <s v="VER"/>
    <x v="29"/>
    <s v="2016-2017"/>
    <x v="6"/>
    <n v="9302"/>
    <n v="3448"/>
    <n v="5854"/>
    <n v="139073"/>
    <n v="176"/>
    <m/>
    <m/>
    <n v="7792"/>
    <n v="442000.15162501682"/>
    <n v="5408"/>
    <n v="9327"/>
    <n v="2338"/>
    <m/>
    <m/>
    <n v="3472"/>
    <n v="2121"/>
    <n v="2271"/>
    <n v="2135"/>
    <n v="9302"/>
    <n v="217163897.13"/>
    <n v="553"/>
    <n v="1543"/>
    <n v="5370"/>
    <n v="280"/>
    <m/>
    <m/>
    <m/>
    <n v="499"/>
    <n v="601"/>
    <m/>
    <m/>
    <m/>
    <m/>
    <m/>
    <m/>
    <m/>
    <m/>
    <m/>
    <m/>
    <m/>
    <m/>
    <m/>
    <m/>
    <m/>
    <m/>
  </r>
  <r>
    <x v="0"/>
    <n v="31"/>
    <s v="YUC"/>
    <x v="30"/>
    <s v="2016-2017"/>
    <x v="6"/>
    <n v="5114"/>
    <n v="2046"/>
    <n v="3068"/>
    <n v="33197"/>
    <n v="69"/>
    <m/>
    <m/>
    <n v="3718"/>
    <n v="110921.77471538878"/>
    <n v="2642"/>
    <n v="4839"/>
    <n v="1110"/>
    <m/>
    <m/>
    <n v="1841"/>
    <n v="982"/>
    <n v="899"/>
    <n v="739"/>
    <n v="5114"/>
    <n v="96311307.430000007"/>
    <n v="271"/>
    <n v="484"/>
    <n v="3318"/>
    <n v="472"/>
    <m/>
    <m/>
    <m/>
    <n v="132"/>
    <m/>
    <m/>
    <m/>
    <m/>
    <m/>
    <m/>
    <m/>
    <m/>
    <m/>
    <m/>
    <m/>
    <m/>
    <m/>
    <m/>
    <m/>
    <m/>
    <m/>
  </r>
  <r>
    <x v="0"/>
    <n v="32"/>
    <s v="ZAC"/>
    <x v="31"/>
    <s v="2016-2017"/>
    <x v="6"/>
    <n v="1610"/>
    <n v="736"/>
    <n v="874"/>
    <n v="30072"/>
    <n v="51"/>
    <m/>
    <m/>
    <n v="1243"/>
    <n v="90115.842866702355"/>
    <n v="812"/>
    <n v="1719"/>
    <n v="348"/>
    <m/>
    <m/>
    <n v="801"/>
    <n v="292"/>
    <n v="267"/>
    <n v="256"/>
    <n v="1610"/>
    <n v="35206510.600000001"/>
    <n v="76"/>
    <n v="197"/>
    <n v="543"/>
    <n v="151"/>
    <m/>
    <m/>
    <m/>
    <n v="0"/>
    <m/>
    <m/>
    <m/>
    <m/>
    <m/>
    <m/>
    <m/>
    <m/>
    <m/>
    <m/>
    <m/>
    <m/>
    <m/>
    <m/>
    <m/>
    <m/>
    <m/>
  </r>
  <r>
    <x v="2"/>
    <n v="33"/>
    <s v="OTRO"/>
    <x v="32"/>
    <s v="2016-2017"/>
    <x v="6"/>
    <m/>
    <m/>
    <m/>
    <m/>
    <m/>
    <m/>
    <m/>
    <m/>
    <m/>
    <m/>
    <m/>
    <m/>
    <m/>
    <m/>
    <m/>
    <m/>
    <m/>
    <m/>
    <m/>
    <m/>
    <m/>
    <m/>
    <m/>
    <m/>
    <m/>
    <m/>
    <m/>
    <n v="223"/>
    <m/>
    <m/>
    <m/>
    <m/>
    <m/>
    <m/>
    <m/>
    <m/>
    <m/>
    <m/>
    <m/>
    <m/>
    <m/>
    <m/>
    <m/>
    <m/>
    <m/>
  </r>
  <r>
    <x v="1"/>
    <n v="0"/>
    <s v="ON"/>
    <x v="33"/>
    <s v="2016-2017"/>
    <x v="6"/>
    <m/>
    <m/>
    <m/>
    <m/>
    <m/>
    <m/>
    <m/>
    <m/>
    <m/>
    <m/>
    <m/>
    <m/>
    <m/>
    <m/>
    <m/>
    <m/>
    <m/>
    <m/>
    <m/>
    <m/>
    <m/>
    <m/>
    <n v="2273"/>
    <m/>
    <m/>
    <m/>
    <m/>
    <n v="460"/>
    <m/>
    <n v="327125.75745099987"/>
    <n v="1521741.574"/>
    <n v="1521741.574"/>
    <n v="1524483.65"/>
    <n v="1470588.7209999999"/>
    <n v="1471983.65"/>
    <n v="1474213.6429999999"/>
    <n v="1476955.71"/>
    <n v="47527.930999999997"/>
    <n v="47527.94"/>
    <n v="51152.853000000003"/>
    <n v="1521741.574"/>
    <n v="51638.898000000001"/>
    <n v="52500"/>
    <n v="1521741.574"/>
    <n v="1524483.65"/>
  </r>
  <r>
    <x v="0"/>
    <n v="1"/>
    <s v="AGS"/>
    <x v="0"/>
    <s v="2017-2018"/>
    <x v="7"/>
    <n v="4662"/>
    <n v="1771"/>
    <n v="2891"/>
    <n v="23120"/>
    <n v="90"/>
    <n v="10"/>
    <n v="18"/>
    <n v="4325"/>
    <n v="75598.148803457036"/>
    <n v="2788"/>
    <n v="4628"/>
    <n v="1327"/>
    <m/>
    <m/>
    <n v="1860"/>
    <n v="1194"/>
    <n v="1021"/>
    <n v="930"/>
    <n v="4662"/>
    <n v="62940244.950000003"/>
    <n v="278"/>
    <n v="429"/>
    <n v="3677"/>
    <n v="334"/>
    <m/>
    <m/>
    <m/>
    <n v="861"/>
    <m/>
    <m/>
    <m/>
    <m/>
    <m/>
    <m/>
    <m/>
    <m/>
    <m/>
    <m/>
    <m/>
    <m/>
    <m/>
    <m/>
    <m/>
    <m/>
    <m/>
  </r>
  <r>
    <x v="0"/>
    <n v="2"/>
    <s v="BC"/>
    <x v="1"/>
    <s v="2017-2018"/>
    <x v="7"/>
    <n v="8249"/>
    <n v="3372"/>
    <n v="4877"/>
    <n v="57195"/>
    <n v="123"/>
    <n v="22"/>
    <n v="20"/>
    <n v="6428"/>
    <n v="187686.64734289853"/>
    <n v="3870"/>
    <n v="8090"/>
    <n v="1495"/>
    <m/>
    <m/>
    <n v="3277"/>
    <n v="1263"/>
    <n v="1348"/>
    <n v="1238"/>
    <n v="8249"/>
    <n v="134453006.91000003"/>
    <n v="385"/>
    <n v="749"/>
    <n v="3022"/>
    <n v="138"/>
    <m/>
    <m/>
    <m/>
    <n v="40"/>
    <n v="254"/>
    <m/>
    <m/>
    <m/>
    <m/>
    <m/>
    <m/>
    <m/>
    <m/>
    <m/>
    <m/>
    <m/>
    <m/>
    <m/>
    <m/>
    <m/>
    <m/>
  </r>
  <r>
    <x v="0"/>
    <n v="3"/>
    <s v="BCS"/>
    <x v="2"/>
    <s v="2017-2018"/>
    <x v="7"/>
    <n v="1664"/>
    <n v="572"/>
    <n v="1092"/>
    <n v="12013"/>
    <n v="18"/>
    <n v="5"/>
    <n v="1"/>
    <n v="1234"/>
    <n v="41868.59660841593"/>
    <n v="882"/>
    <n v="1878"/>
    <n v="438"/>
    <m/>
    <m/>
    <n v="709"/>
    <n v="352"/>
    <n v="455"/>
    <n v="422"/>
    <n v="1664"/>
    <n v="33737522.760000005"/>
    <n v="86"/>
    <n v="217"/>
    <n v="792"/>
    <n v="42"/>
    <m/>
    <m/>
    <m/>
    <n v="1"/>
    <m/>
    <m/>
    <m/>
    <m/>
    <m/>
    <m/>
    <m/>
    <m/>
    <m/>
    <m/>
    <m/>
    <m/>
    <m/>
    <m/>
    <m/>
    <m/>
    <m/>
  </r>
  <r>
    <x v="0"/>
    <n v="4"/>
    <s v="CAMP"/>
    <x v="3"/>
    <s v="2017-2018"/>
    <x v="7"/>
    <n v="1809"/>
    <n v="726"/>
    <n v="1083"/>
    <n v="15003"/>
    <n v="40"/>
    <n v="9"/>
    <n v="12"/>
    <n v="1279"/>
    <n v="48445.133432320828"/>
    <n v="836"/>
    <n v="1835"/>
    <n v="406"/>
    <m/>
    <m/>
    <n v="744"/>
    <n v="348"/>
    <n v="337"/>
    <n v="289"/>
    <n v="1809"/>
    <n v="40377865.43"/>
    <n v="104"/>
    <n v="331"/>
    <n v="236"/>
    <n v="96"/>
    <m/>
    <m/>
    <m/>
    <n v="395"/>
    <m/>
    <m/>
    <m/>
    <m/>
    <m/>
    <m/>
    <m/>
    <m/>
    <m/>
    <m/>
    <m/>
    <m/>
    <m/>
    <m/>
    <m/>
    <m/>
    <m/>
  </r>
  <r>
    <x v="0"/>
    <n v="7"/>
    <s v="CHIAP"/>
    <x v="4"/>
    <s v="2017-2018"/>
    <x v="7"/>
    <n v="7408"/>
    <n v="2680"/>
    <n v="4728"/>
    <n v="93621"/>
    <n v="167"/>
    <n v="18"/>
    <n v="51"/>
    <n v="6135"/>
    <n v="339199.38612340792"/>
    <n v="3253"/>
    <n v="7553"/>
    <n v="1871"/>
    <m/>
    <m/>
    <n v="2807"/>
    <n v="1669"/>
    <n v="1704"/>
    <n v="1459"/>
    <n v="7408"/>
    <n v="154916086.87"/>
    <n v="412"/>
    <n v="714"/>
    <n v="3960"/>
    <n v="159"/>
    <m/>
    <m/>
    <m/>
    <n v="140"/>
    <m/>
    <m/>
    <m/>
    <m/>
    <m/>
    <m/>
    <m/>
    <m/>
    <m/>
    <m/>
    <m/>
    <m/>
    <m/>
    <m/>
    <m/>
    <m/>
    <m/>
  </r>
  <r>
    <x v="0"/>
    <n v="8"/>
    <s v="CHIH"/>
    <x v="5"/>
    <s v="2017-2018"/>
    <x v="7"/>
    <n v="9203"/>
    <n v="3776"/>
    <n v="5427"/>
    <n v="55630"/>
    <n v="157"/>
    <n v="30"/>
    <n v="34"/>
    <n v="8150"/>
    <n v="202962.54778543254"/>
    <n v="4315"/>
    <n v="9095"/>
    <n v="1927"/>
    <m/>
    <m/>
    <n v="3922"/>
    <n v="1759"/>
    <n v="1887"/>
    <n v="1718"/>
    <n v="9203"/>
    <n v="149622540.54999998"/>
    <n v="537"/>
    <n v="983"/>
    <n v="9869"/>
    <n v="306"/>
    <m/>
    <m/>
    <m/>
    <n v="178"/>
    <n v="688"/>
    <m/>
    <m/>
    <m/>
    <m/>
    <m/>
    <m/>
    <m/>
    <m/>
    <m/>
    <m/>
    <m/>
    <m/>
    <m/>
    <m/>
    <m/>
    <m/>
  </r>
  <r>
    <x v="1"/>
    <n v="9"/>
    <s v="CDMX"/>
    <x v="6"/>
    <s v="2017-2018"/>
    <x v="7"/>
    <n v="44212"/>
    <n v="18720"/>
    <n v="25492"/>
    <n v="144092"/>
    <n v="579"/>
    <n v="101"/>
    <n v="146"/>
    <n v="35156"/>
    <n v="393735.68071603618"/>
    <n v="25657"/>
    <n v="44532"/>
    <n v="8423"/>
    <m/>
    <m/>
    <n v="18370"/>
    <n v="7196"/>
    <n v="6851"/>
    <n v="4513"/>
    <n v="44212"/>
    <n v="727900113.59000003"/>
    <n v="2140"/>
    <n v="3705"/>
    <n v="10792"/>
    <n v="637"/>
    <m/>
    <m/>
    <m/>
    <n v="1500"/>
    <m/>
    <m/>
    <m/>
    <m/>
    <m/>
    <m/>
    <m/>
    <m/>
    <m/>
    <m/>
    <m/>
    <m/>
    <m/>
    <m/>
    <m/>
    <m/>
    <m/>
  </r>
  <r>
    <x v="0"/>
    <n v="5"/>
    <s v="COAH"/>
    <x v="7"/>
    <s v="2017-2018"/>
    <x v="7"/>
    <n v="10066"/>
    <n v="4262"/>
    <n v="5804"/>
    <n v="60662"/>
    <n v="134"/>
    <n v="45"/>
    <n v="37"/>
    <n v="8575"/>
    <n v="163739.33545428055"/>
    <n v="6033"/>
    <n v="9358"/>
    <n v="2223"/>
    <m/>
    <m/>
    <n v="3366"/>
    <n v="2042"/>
    <n v="1717"/>
    <n v="1686"/>
    <n v="10066"/>
    <n v="146240443.06"/>
    <n v="436"/>
    <n v="1141"/>
    <n v="716"/>
    <n v="92"/>
    <m/>
    <m/>
    <m/>
    <n v="194"/>
    <m/>
    <m/>
    <m/>
    <m/>
    <m/>
    <m/>
    <m/>
    <m/>
    <m/>
    <m/>
    <m/>
    <m/>
    <m/>
    <m/>
    <m/>
    <m/>
    <m/>
  </r>
  <r>
    <x v="0"/>
    <n v="6"/>
    <s v="COL"/>
    <x v="8"/>
    <s v="2017-2018"/>
    <x v="7"/>
    <n v="1866"/>
    <n v="701"/>
    <n v="1165"/>
    <n v="11068"/>
    <n v="48"/>
    <n v="5"/>
    <n v="11"/>
    <n v="1144"/>
    <n v="38113.864591336576"/>
    <n v="846"/>
    <n v="1986"/>
    <n v="379"/>
    <m/>
    <m/>
    <n v="823"/>
    <n v="305"/>
    <n v="288"/>
    <n v="259"/>
    <n v="1866"/>
    <n v="40848159.449999996"/>
    <n v="117"/>
    <n v="320"/>
    <n v="833"/>
    <n v="0"/>
    <m/>
    <m/>
    <m/>
    <n v="201"/>
    <m/>
    <m/>
    <m/>
    <m/>
    <m/>
    <m/>
    <m/>
    <m/>
    <m/>
    <m/>
    <m/>
    <m/>
    <m/>
    <m/>
    <m/>
    <m/>
    <m/>
  </r>
  <r>
    <x v="0"/>
    <n v="10"/>
    <s v="DGO"/>
    <x v="9"/>
    <s v="2017-2018"/>
    <x v="7"/>
    <n v="2067"/>
    <n v="935"/>
    <n v="1132"/>
    <n v="32676"/>
    <n v="52"/>
    <n v="17"/>
    <n v="8"/>
    <n v="1722"/>
    <n v="102443.98670163711"/>
    <n v="1074"/>
    <n v="2142"/>
    <n v="459"/>
    <m/>
    <m/>
    <n v="1025"/>
    <n v="398"/>
    <n v="403"/>
    <n v="275"/>
    <n v="2067"/>
    <n v="39988050.210000001"/>
    <n v="151"/>
    <n v="260"/>
    <n v="2362"/>
    <n v="179"/>
    <m/>
    <m/>
    <m/>
    <n v="37"/>
    <m/>
    <m/>
    <m/>
    <m/>
    <m/>
    <m/>
    <m/>
    <m/>
    <m/>
    <m/>
    <m/>
    <m/>
    <m/>
    <m/>
    <m/>
    <m/>
    <m/>
  </r>
  <r>
    <x v="0"/>
    <n v="11"/>
    <s v="GTO"/>
    <x v="10"/>
    <s v="2017-2018"/>
    <x v="7"/>
    <n v="18067"/>
    <n v="7538"/>
    <n v="10529"/>
    <n v="120616"/>
    <n v="288"/>
    <n v="71"/>
    <n v="65"/>
    <n v="15006"/>
    <n v="339322.14632718515"/>
    <n v="10205"/>
    <n v="17266"/>
    <n v="4311"/>
    <m/>
    <m/>
    <n v="6355"/>
    <n v="4047"/>
    <n v="4743"/>
    <n v="4477"/>
    <n v="18067"/>
    <n v="239110062.75999999"/>
    <n v="860"/>
    <n v="2187"/>
    <n v="8486"/>
    <n v="674"/>
    <m/>
    <m/>
    <m/>
    <n v="6537"/>
    <n v="12897"/>
    <m/>
    <m/>
    <m/>
    <m/>
    <m/>
    <m/>
    <m/>
    <m/>
    <m/>
    <m/>
    <m/>
    <m/>
    <m/>
    <m/>
    <m/>
    <m/>
  </r>
  <r>
    <x v="0"/>
    <n v="12"/>
    <s v="GRO"/>
    <x v="11"/>
    <s v="2017-2018"/>
    <x v="7"/>
    <n v="6152"/>
    <n v="2421"/>
    <n v="3731"/>
    <n v="67537"/>
    <n v="128"/>
    <n v="22"/>
    <n v="43"/>
    <n v="4956"/>
    <n v="221402.55210199981"/>
    <n v="3288"/>
    <n v="6290"/>
    <n v="1515"/>
    <m/>
    <m/>
    <n v="2541"/>
    <n v="1362"/>
    <n v="1363"/>
    <n v="760"/>
    <n v="6152"/>
    <n v="129986523.43000001"/>
    <n v="298"/>
    <n v="719"/>
    <n v="1480"/>
    <n v="1068"/>
    <m/>
    <m/>
    <m/>
    <n v="1175"/>
    <m/>
    <m/>
    <m/>
    <m/>
    <m/>
    <m/>
    <m/>
    <m/>
    <m/>
    <m/>
    <m/>
    <m/>
    <m/>
    <m/>
    <m/>
    <m/>
    <m/>
  </r>
  <r>
    <x v="0"/>
    <n v="13"/>
    <s v="HGO"/>
    <x v="12"/>
    <s v="2017-2018"/>
    <x v="7"/>
    <n v="3648"/>
    <n v="1434"/>
    <n v="2214"/>
    <n v="54631"/>
    <n v="71"/>
    <n v="34"/>
    <n v="19"/>
    <n v="3195"/>
    <n v="161393.80743884723"/>
    <n v="1711"/>
    <n v="3715"/>
    <n v="818"/>
    <m/>
    <m/>
    <n v="1417"/>
    <n v="693"/>
    <n v="710"/>
    <n v="703"/>
    <n v="3648"/>
    <n v="62427701.560000002"/>
    <n v="203"/>
    <n v="428"/>
    <n v="1175"/>
    <n v="361"/>
    <m/>
    <m/>
    <m/>
    <n v="408"/>
    <m/>
    <m/>
    <m/>
    <m/>
    <m/>
    <m/>
    <m/>
    <m/>
    <m/>
    <m/>
    <m/>
    <m/>
    <m/>
    <m/>
    <m/>
    <m/>
    <m/>
  </r>
  <r>
    <x v="0"/>
    <n v="14"/>
    <s v="JAL"/>
    <x v="13"/>
    <s v="2017-2018"/>
    <x v="7"/>
    <n v="14856"/>
    <n v="5950"/>
    <n v="8906"/>
    <n v="138980"/>
    <n v="276"/>
    <n v="36"/>
    <n v="68"/>
    <n v="11552"/>
    <n v="433694.28945317143"/>
    <n v="6319"/>
    <n v="14712"/>
    <n v="3214"/>
    <m/>
    <m/>
    <n v="5847"/>
    <n v="2823"/>
    <n v="2841"/>
    <n v="2194"/>
    <n v="14856"/>
    <n v="253606710.19"/>
    <n v="877"/>
    <n v="2084"/>
    <n v="8294"/>
    <n v="907"/>
    <m/>
    <m/>
    <m/>
    <n v="228"/>
    <n v="504"/>
    <m/>
    <m/>
    <m/>
    <m/>
    <m/>
    <m/>
    <m/>
    <m/>
    <m/>
    <m/>
    <m/>
    <m/>
    <m/>
    <m/>
    <m/>
    <m/>
  </r>
  <r>
    <x v="0"/>
    <n v="15"/>
    <s v="MEX"/>
    <x v="14"/>
    <s v="2017-2018"/>
    <x v="7"/>
    <n v="48591"/>
    <n v="18859"/>
    <n v="29732"/>
    <n v="291713"/>
    <n v="774"/>
    <n v="133"/>
    <n v="197"/>
    <n v="41890"/>
    <n v="914058.32544967113"/>
    <n v="24437"/>
    <n v="48274"/>
    <n v="10103"/>
    <m/>
    <m/>
    <n v="19347"/>
    <n v="8478"/>
    <n v="8197"/>
    <n v="6722"/>
    <n v="48591"/>
    <n v="739896898.45999992"/>
    <n v="2322"/>
    <n v="4445"/>
    <n v="14747"/>
    <n v="1031"/>
    <m/>
    <m/>
    <m/>
    <n v="30630"/>
    <n v="429"/>
    <m/>
    <m/>
    <m/>
    <m/>
    <m/>
    <m/>
    <m/>
    <m/>
    <m/>
    <m/>
    <m/>
    <m/>
    <m/>
    <m/>
    <m/>
    <m/>
  </r>
  <r>
    <x v="0"/>
    <n v="16"/>
    <s v="MICH"/>
    <x v="15"/>
    <s v="2017-2018"/>
    <x v="7"/>
    <n v="11181"/>
    <n v="4573"/>
    <n v="6608"/>
    <n v="70513"/>
    <n v="220"/>
    <n v="28"/>
    <n v="52"/>
    <n v="9395"/>
    <n v="257745.76093572829"/>
    <n v="5520"/>
    <n v="11186"/>
    <n v="2820"/>
    <m/>
    <m/>
    <n v="4533"/>
    <n v="2425"/>
    <n v="2396"/>
    <n v="2150"/>
    <n v="11181"/>
    <n v="202375074.75999999"/>
    <n v="447"/>
    <n v="1204"/>
    <n v="3982"/>
    <n v="270"/>
    <m/>
    <m/>
    <m/>
    <n v="7715"/>
    <m/>
    <m/>
    <m/>
    <m/>
    <m/>
    <m/>
    <m/>
    <m/>
    <m/>
    <m/>
    <m/>
    <m/>
    <m/>
    <m/>
    <m/>
    <m/>
    <m/>
  </r>
  <r>
    <x v="0"/>
    <n v="17"/>
    <s v="MOR"/>
    <x v="16"/>
    <s v="2017-2018"/>
    <x v="7"/>
    <n v="4697"/>
    <n v="1947"/>
    <n v="2750"/>
    <n v="31772"/>
    <n v="72"/>
    <n v="15"/>
    <n v="16"/>
    <n v="3864"/>
    <n v="101461.14491197071"/>
    <n v="2284"/>
    <n v="4719"/>
    <n v="1174"/>
    <m/>
    <m/>
    <n v="2047"/>
    <n v="1076"/>
    <n v="1040"/>
    <n v="957"/>
    <n v="4697"/>
    <n v="68201138.769999996"/>
    <n v="242"/>
    <n v="532"/>
    <n v="4191"/>
    <n v="373"/>
    <m/>
    <m/>
    <m/>
    <n v="1311"/>
    <m/>
    <m/>
    <m/>
    <m/>
    <m/>
    <m/>
    <m/>
    <m/>
    <m/>
    <m/>
    <m/>
    <m/>
    <m/>
    <m/>
    <m/>
    <m/>
    <m/>
  </r>
  <r>
    <x v="0"/>
    <n v="18"/>
    <s v="NAY"/>
    <x v="17"/>
    <s v="2017-2018"/>
    <x v="7"/>
    <n v="3065"/>
    <n v="1127"/>
    <n v="1938"/>
    <n v="19363"/>
    <n v="61"/>
    <n v="6"/>
    <n v="11"/>
    <n v="2634"/>
    <n v="67057.060818604514"/>
    <n v="1299"/>
    <n v="3195"/>
    <n v="643"/>
    <m/>
    <m/>
    <n v="1099"/>
    <n v="588"/>
    <n v="639"/>
    <n v="586"/>
    <n v="3065"/>
    <n v="51631392.890000001"/>
    <n v="123"/>
    <n v="361"/>
    <n v="629"/>
    <n v="82"/>
    <m/>
    <m/>
    <m/>
    <n v="0"/>
    <m/>
    <m/>
    <m/>
    <m/>
    <m/>
    <m/>
    <m/>
    <m/>
    <m/>
    <m/>
    <m/>
    <m/>
    <m/>
    <m/>
    <m/>
    <m/>
    <m/>
  </r>
  <r>
    <x v="0"/>
    <n v="19"/>
    <s v="NL"/>
    <x v="18"/>
    <s v="2017-2018"/>
    <x v="7"/>
    <n v="21351"/>
    <n v="8908"/>
    <n v="12443"/>
    <n v="95814"/>
    <n v="274"/>
    <n v="72"/>
    <n v="71"/>
    <n v="17358"/>
    <n v="265652.98023607361"/>
    <n v="9881"/>
    <n v="20067"/>
    <n v="4051"/>
    <m/>
    <m/>
    <n v="7442"/>
    <n v="3658"/>
    <n v="3684"/>
    <n v="3551"/>
    <n v="21351"/>
    <n v="211600752.72999999"/>
    <n v="1046"/>
    <n v="1549"/>
    <n v="38367"/>
    <n v="1787"/>
    <m/>
    <m/>
    <m/>
    <n v="62504"/>
    <n v="511"/>
    <m/>
    <m/>
    <m/>
    <m/>
    <m/>
    <m/>
    <m/>
    <m/>
    <m/>
    <m/>
    <m/>
    <m/>
    <m/>
    <m/>
    <m/>
    <m/>
  </r>
  <r>
    <x v="1"/>
    <n v="20"/>
    <s v="OAX"/>
    <x v="19"/>
    <s v="2017-2018"/>
    <x v="7"/>
    <n v="6380"/>
    <n v="2314"/>
    <n v="4066"/>
    <n v="72598"/>
    <n v="127"/>
    <n v="14"/>
    <n v="16"/>
    <n v="5239"/>
    <n v="236266.70574677282"/>
    <n v="2916"/>
    <n v="6379"/>
    <n v="1323"/>
    <m/>
    <m/>
    <n v="2259"/>
    <n v="1128"/>
    <n v="1203"/>
    <n v="888"/>
    <n v="6380"/>
    <n v="173164800.44999999"/>
    <n v="381"/>
    <n v="637"/>
    <n v="2055"/>
    <n v="36"/>
    <m/>
    <m/>
    <m/>
    <n v="372"/>
    <m/>
    <m/>
    <m/>
    <m/>
    <m/>
    <m/>
    <m/>
    <m/>
    <m/>
    <m/>
    <m/>
    <m/>
    <m/>
    <m/>
    <m/>
    <m/>
    <m/>
  </r>
  <r>
    <x v="0"/>
    <n v="21"/>
    <s v="PUE"/>
    <x v="20"/>
    <s v="2017-2018"/>
    <x v="7"/>
    <n v="7439"/>
    <n v="2917"/>
    <n v="4522"/>
    <n v="125596"/>
    <n v="161"/>
    <n v="37"/>
    <n v="42"/>
    <n v="6223"/>
    <n v="364173.02984084236"/>
    <n v="4223"/>
    <n v="7260"/>
    <n v="1855"/>
    <m/>
    <m/>
    <n v="2818"/>
    <n v="1669"/>
    <n v="1681"/>
    <n v="1562"/>
    <n v="7439"/>
    <n v="146685714.02000001"/>
    <n v="393"/>
    <n v="1005"/>
    <n v="4484"/>
    <n v="168"/>
    <m/>
    <m/>
    <m/>
    <n v="4232"/>
    <m/>
    <m/>
    <m/>
    <m/>
    <m/>
    <m/>
    <m/>
    <m/>
    <m/>
    <m/>
    <m/>
    <m/>
    <m/>
    <m/>
    <m/>
    <m/>
    <m/>
  </r>
  <r>
    <x v="0"/>
    <n v="22"/>
    <s v="QRO"/>
    <x v="21"/>
    <s v="2017-2018"/>
    <x v="7"/>
    <n v="3418"/>
    <n v="1463"/>
    <n v="1955"/>
    <n v="34515"/>
    <n v="66"/>
    <n v="16"/>
    <n v="25"/>
    <n v="2873"/>
    <n v="113026.69883774169"/>
    <n v="2071"/>
    <n v="3418"/>
    <n v="884"/>
    <m/>
    <m/>
    <n v="1476"/>
    <n v="811"/>
    <n v="754"/>
    <n v="723"/>
    <n v="3418"/>
    <n v="45334871.540000007"/>
    <n v="246"/>
    <n v="449"/>
    <n v="1617"/>
    <n v="71"/>
    <m/>
    <m/>
    <m/>
    <n v="0"/>
    <m/>
    <m/>
    <m/>
    <m/>
    <m/>
    <m/>
    <m/>
    <m/>
    <m/>
    <m/>
    <m/>
    <m/>
    <m/>
    <m/>
    <m/>
    <m/>
    <m/>
  </r>
  <r>
    <x v="0"/>
    <n v="23"/>
    <s v="QROO"/>
    <x v="22"/>
    <s v="2017-2018"/>
    <x v="7"/>
    <n v="8622"/>
    <n v="3406"/>
    <n v="5216"/>
    <n v="26440"/>
    <n v="109"/>
    <n v="15"/>
    <n v="29"/>
    <n v="7095"/>
    <n v="83978.873874572979"/>
    <n v="3817"/>
    <n v="8129"/>
    <n v="1739"/>
    <m/>
    <m/>
    <n v="2777"/>
    <n v="1512"/>
    <n v="1830"/>
    <n v="1697"/>
    <n v="8622"/>
    <n v="97942159.229999989"/>
    <n v="432"/>
    <n v="771"/>
    <n v="210"/>
    <n v="0"/>
    <m/>
    <m/>
    <m/>
    <n v="32"/>
    <m/>
    <m/>
    <m/>
    <m/>
    <m/>
    <m/>
    <m/>
    <m/>
    <m/>
    <m/>
    <m/>
    <m/>
    <m/>
    <m/>
    <m/>
    <m/>
    <m/>
  </r>
  <r>
    <x v="0"/>
    <n v="24"/>
    <s v="SLP"/>
    <x v="23"/>
    <s v="2017-2018"/>
    <x v="7"/>
    <n v="5729"/>
    <n v="2322"/>
    <n v="3407"/>
    <n v="58469"/>
    <n v="90"/>
    <n v="19"/>
    <n v="25"/>
    <n v="4445"/>
    <n v="159670.65915548397"/>
    <n v="3026"/>
    <n v="5400"/>
    <n v="1125"/>
    <m/>
    <m/>
    <n v="2096"/>
    <n v="989"/>
    <n v="980"/>
    <n v="921"/>
    <n v="5729"/>
    <n v="85770398.209999993"/>
    <n v="249"/>
    <n v="427"/>
    <n v="4791"/>
    <n v="190"/>
    <m/>
    <m/>
    <m/>
    <n v="851"/>
    <m/>
    <m/>
    <m/>
    <m/>
    <m/>
    <m/>
    <m/>
    <m/>
    <m/>
    <m/>
    <m/>
    <m/>
    <m/>
    <m/>
    <m/>
    <m/>
    <m/>
  </r>
  <r>
    <x v="0"/>
    <n v="25"/>
    <s v="SIN"/>
    <x v="24"/>
    <s v="2017-2018"/>
    <x v="7"/>
    <n v="8577"/>
    <n v="3909"/>
    <n v="4668"/>
    <n v="54201"/>
    <n v="216"/>
    <n v="67"/>
    <n v="42"/>
    <n v="7468"/>
    <n v="163676.19828688691"/>
    <n v="4442"/>
    <n v="7854"/>
    <n v="1915"/>
    <m/>
    <m/>
    <n v="3009"/>
    <n v="1739"/>
    <n v="2335"/>
    <n v="2244"/>
    <n v="8577"/>
    <n v="217435835.59"/>
    <n v="535"/>
    <n v="1117"/>
    <n v="410"/>
    <n v="241"/>
    <m/>
    <m/>
    <m/>
    <n v="28"/>
    <m/>
    <m/>
    <m/>
    <m/>
    <m/>
    <m/>
    <m/>
    <m/>
    <m/>
    <m/>
    <m/>
    <m/>
    <m/>
    <m/>
    <m/>
    <m/>
    <m/>
  </r>
  <r>
    <x v="0"/>
    <n v="26"/>
    <s v="SON"/>
    <x v="25"/>
    <s v="2017-2018"/>
    <x v="7"/>
    <n v="15277"/>
    <n v="6180"/>
    <n v="9097"/>
    <n v="48293"/>
    <n v="260"/>
    <n v="35"/>
    <n v="49"/>
    <n v="12888"/>
    <n v="159910.74779471883"/>
    <n v="6335"/>
    <n v="15385"/>
    <n v="2886"/>
    <m/>
    <m/>
    <n v="5686"/>
    <n v="2463"/>
    <n v="2385"/>
    <n v="1963"/>
    <n v="15277"/>
    <n v="220480112.47"/>
    <n v="605"/>
    <n v="857"/>
    <n v="7657"/>
    <n v="579"/>
    <m/>
    <m/>
    <m/>
    <n v="0"/>
    <m/>
    <m/>
    <m/>
    <m/>
    <m/>
    <m/>
    <m/>
    <m/>
    <m/>
    <m/>
    <m/>
    <m/>
    <m/>
    <m/>
    <m/>
    <m/>
    <m/>
  </r>
  <r>
    <x v="0"/>
    <n v="27"/>
    <s v="TAB"/>
    <x v="26"/>
    <s v="2017-2018"/>
    <x v="7"/>
    <n v="5685"/>
    <n v="2206"/>
    <n v="3479"/>
    <n v="40315"/>
    <n v="89"/>
    <n v="20"/>
    <n v="22"/>
    <n v="4884"/>
    <n v="133447.88163723628"/>
    <n v="2207"/>
    <n v="5584"/>
    <n v="1400"/>
    <m/>
    <m/>
    <n v="2162"/>
    <n v="1303"/>
    <n v="1341"/>
    <n v="1270"/>
    <n v="5685"/>
    <n v="109629582.92000002"/>
    <n v="294"/>
    <n v="484"/>
    <n v="1011"/>
    <n v="4"/>
    <m/>
    <m/>
    <m/>
    <n v="8"/>
    <m/>
    <m/>
    <m/>
    <m/>
    <m/>
    <m/>
    <m/>
    <m/>
    <m/>
    <m/>
    <m/>
    <m/>
    <m/>
    <m/>
    <m/>
    <m/>
    <m/>
  </r>
  <r>
    <x v="0"/>
    <n v="28"/>
    <s v="TAMPS"/>
    <x v="27"/>
    <s v="2017-2018"/>
    <x v="7"/>
    <n v="8707"/>
    <n v="3276"/>
    <n v="5431"/>
    <n v="53952"/>
    <n v="157"/>
    <n v="30"/>
    <n v="37"/>
    <n v="7558"/>
    <n v="187602.00965312397"/>
    <n v="3644"/>
    <n v="8929"/>
    <n v="2127"/>
    <m/>
    <m/>
    <n v="3511"/>
    <n v="1898"/>
    <n v="1856"/>
    <n v="1721"/>
    <n v="8707"/>
    <n v="170226883.19999999"/>
    <n v="392"/>
    <n v="1077"/>
    <n v="10735"/>
    <n v="177"/>
    <m/>
    <m/>
    <m/>
    <n v="95"/>
    <n v="711"/>
    <m/>
    <m/>
    <m/>
    <m/>
    <m/>
    <m/>
    <m/>
    <m/>
    <m/>
    <m/>
    <m/>
    <m/>
    <m/>
    <m/>
    <m/>
    <m/>
  </r>
  <r>
    <x v="0"/>
    <n v="29"/>
    <s v="TLAX"/>
    <x v="28"/>
    <s v="2017-2018"/>
    <x v="7"/>
    <n v="3243"/>
    <n v="1320"/>
    <n v="1923"/>
    <n v="23702"/>
    <n v="48"/>
    <n v="21"/>
    <n v="13"/>
    <n v="2929"/>
    <n v="74174.189282836684"/>
    <n v="1484"/>
    <n v="3036"/>
    <n v="688"/>
    <m/>
    <m/>
    <n v="1224"/>
    <n v="562"/>
    <n v="604"/>
    <n v="596"/>
    <n v="3243"/>
    <n v="41570346.460000008"/>
    <n v="176"/>
    <n v="455"/>
    <n v="1455"/>
    <n v="43"/>
    <m/>
    <m/>
    <m/>
    <n v="66"/>
    <m/>
    <m/>
    <m/>
    <m/>
    <m/>
    <m/>
    <m/>
    <m/>
    <m/>
    <m/>
    <m/>
    <m/>
    <m/>
    <m/>
    <m/>
    <m/>
    <m/>
  </r>
  <r>
    <x v="0"/>
    <n v="30"/>
    <s v="VER"/>
    <x v="29"/>
    <s v="2017-2018"/>
    <x v="7"/>
    <n v="9115"/>
    <n v="3208"/>
    <n v="5907"/>
    <n v="135695"/>
    <n v="176"/>
    <n v="40"/>
    <n v="78"/>
    <n v="7767"/>
    <n v="437150.9048392534"/>
    <n v="4837"/>
    <n v="9302"/>
    <n v="2432"/>
    <m/>
    <m/>
    <n v="3471"/>
    <n v="2218"/>
    <n v="2121"/>
    <n v="1869"/>
    <n v="9115"/>
    <n v="223349061.37000003"/>
    <n v="549"/>
    <n v="1543"/>
    <n v="5496"/>
    <n v="115"/>
    <m/>
    <m/>
    <m/>
    <n v="580"/>
    <n v="631"/>
    <m/>
    <m/>
    <m/>
    <m/>
    <m/>
    <m/>
    <m/>
    <m/>
    <m/>
    <m/>
    <m/>
    <m/>
    <m/>
    <m/>
    <m/>
    <m/>
  </r>
  <r>
    <x v="0"/>
    <n v="31"/>
    <s v="YUC"/>
    <x v="30"/>
    <s v="2017-2018"/>
    <x v="7"/>
    <n v="5258"/>
    <n v="2052"/>
    <n v="3206"/>
    <n v="36412"/>
    <n v="69"/>
    <n v="10"/>
    <n v="17"/>
    <n v="3892"/>
    <n v="110577.73312521525"/>
    <n v="2516"/>
    <n v="5114"/>
    <n v="1149"/>
    <m/>
    <m/>
    <n v="1794"/>
    <n v="1031"/>
    <n v="982"/>
    <n v="792"/>
    <n v="5258"/>
    <n v="98997778.909999996"/>
    <n v="272"/>
    <n v="484"/>
    <n v="4545"/>
    <n v="421"/>
    <m/>
    <m/>
    <m/>
    <n v="429"/>
    <m/>
    <m/>
    <m/>
    <m/>
    <m/>
    <m/>
    <m/>
    <m/>
    <m/>
    <m/>
    <m/>
    <m/>
    <m/>
    <m/>
    <m/>
    <m/>
    <m/>
  </r>
  <r>
    <x v="0"/>
    <n v="32"/>
    <s v="ZAC"/>
    <x v="31"/>
    <s v="2017-2018"/>
    <x v="7"/>
    <n v="1552"/>
    <n v="675"/>
    <n v="877"/>
    <n v="28539"/>
    <n v="51"/>
    <n v="12"/>
    <n v="9"/>
    <n v="1230"/>
    <n v="89510.408551906468"/>
    <n v="746"/>
    <n v="1610"/>
    <n v="305"/>
    <m/>
    <m/>
    <n v="695"/>
    <n v="260"/>
    <n v="292"/>
    <n v="288"/>
    <n v="1552"/>
    <n v="36192694.990000002"/>
    <n v="74"/>
    <n v="197"/>
    <n v="2319"/>
    <n v="84"/>
    <m/>
    <m/>
    <m/>
    <n v="0"/>
    <m/>
    <m/>
    <m/>
    <m/>
    <m/>
    <m/>
    <m/>
    <m/>
    <m/>
    <m/>
    <m/>
    <m/>
    <m/>
    <m/>
    <m/>
    <m/>
    <m/>
  </r>
  <r>
    <x v="2"/>
    <n v="33"/>
    <s v="OTRO"/>
    <x v="32"/>
    <s v="2017-2018"/>
    <x v="7"/>
    <m/>
    <m/>
    <m/>
    <m/>
    <m/>
    <m/>
    <m/>
    <m/>
    <m/>
    <m/>
    <m/>
    <m/>
    <m/>
    <m/>
    <m/>
    <m/>
    <m/>
    <m/>
    <m/>
    <m/>
    <m/>
    <m/>
    <m/>
    <m/>
    <m/>
    <m/>
    <m/>
    <n v="187"/>
    <m/>
    <m/>
    <m/>
    <m/>
    <m/>
    <m/>
    <m/>
    <m/>
    <m/>
    <m/>
    <m/>
    <m/>
    <m/>
    <m/>
    <m/>
    <m/>
    <m/>
  </r>
  <r>
    <x v="1"/>
    <n v="0"/>
    <s v="ON"/>
    <x v="33"/>
    <s v="2017-2018"/>
    <x v="7"/>
    <m/>
    <m/>
    <m/>
    <m/>
    <m/>
    <m/>
    <m/>
    <m/>
    <m/>
    <m/>
    <m/>
    <m/>
    <m/>
    <m/>
    <m/>
    <m/>
    <m/>
    <m/>
    <m/>
    <m/>
    <m/>
    <m/>
    <n v="3330"/>
    <m/>
    <m/>
    <m/>
    <m/>
    <n v="459"/>
    <m/>
    <n v="364874.22713000007"/>
    <n v="1581332.3219999999"/>
    <n v="1581332.3219999999"/>
    <n v="1587194"/>
    <n v="1532193.57"/>
    <n v="1532193.57"/>
    <n v="1522202.77"/>
    <n v="1528064.0179999999"/>
    <n v="59130"/>
    <n v="59130"/>
    <n v="49138.752"/>
    <n v="1581332.3219999999"/>
    <n v="49482.362999999998"/>
    <n v="55000"/>
    <n v="1581332.3219999999"/>
    <n v="1587193.57"/>
  </r>
  <r>
    <x v="0"/>
    <n v="1"/>
    <s v="AGS"/>
    <x v="0"/>
    <s v="2018-2019"/>
    <x v="8"/>
    <n v="4691"/>
    <n v="1689"/>
    <n v="3002"/>
    <n v="21805"/>
    <n v="84"/>
    <n v="11"/>
    <n v="21"/>
    <n v="4334"/>
    <n v="75808.311396180841"/>
    <n v="2929"/>
    <n v="4662"/>
    <n v="1234"/>
    <n v="770"/>
    <n v="4496"/>
    <n v="1765"/>
    <n v="1070"/>
    <n v="1194"/>
    <n v="1064"/>
    <n v="4691"/>
    <n v="70616739.590000004"/>
    <n v="280"/>
    <n v="429"/>
    <n v="3514"/>
    <n v="298"/>
    <m/>
    <m/>
    <n v="1732"/>
    <n v="1532"/>
    <m/>
    <m/>
    <m/>
    <m/>
    <m/>
    <m/>
    <m/>
    <m/>
    <m/>
    <m/>
    <m/>
    <m/>
    <m/>
    <m/>
    <m/>
    <m/>
    <m/>
  </r>
  <r>
    <x v="0"/>
    <n v="2"/>
    <s v="BC"/>
    <x v="1"/>
    <s v="2018-2019"/>
    <x v="8"/>
    <n v="8462"/>
    <n v="3296"/>
    <n v="5166"/>
    <n v="56479"/>
    <n v="125"/>
    <n v="32"/>
    <n v="24"/>
    <n v="6581"/>
    <n v="186658.86964677856"/>
    <n v="3633"/>
    <n v="8249"/>
    <n v="1657"/>
    <n v="2349"/>
    <n v="7357"/>
    <n v="3651"/>
    <n v="1412"/>
    <n v="1263"/>
    <n v="1059"/>
    <n v="8462"/>
    <n v="138342186.01499999"/>
    <n v="401"/>
    <n v="749"/>
    <n v="5453"/>
    <n v="42"/>
    <m/>
    <m/>
    <n v="68"/>
    <n v="66"/>
    <n v="191"/>
    <m/>
    <m/>
    <m/>
    <m/>
    <m/>
    <m/>
    <m/>
    <m/>
    <m/>
    <m/>
    <m/>
    <m/>
    <m/>
    <m/>
    <m/>
    <m/>
  </r>
  <r>
    <x v="0"/>
    <n v="3"/>
    <s v="BCS"/>
    <x v="2"/>
    <s v="2018-2019"/>
    <x v="8"/>
    <n v="1697"/>
    <n v="679"/>
    <n v="1018"/>
    <n v="11931"/>
    <n v="18"/>
    <n v="5"/>
    <n v="1"/>
    <n v="1302"/>
    <n v="42737.553261914298"/>
    <n v="998"/>
    <n v="1664"/>
    <n v="407"/>
    <n v="304"/>
    <n v="1544"/>
    <n v="660"/>
    <n v="344"/>
    <n v="352"/>
    <n v="343"/>
    <n v="1697"/>
    <n v="34713244.295000002"/>
    <n v="86"/>
    <n v="217"/>
    <n v="892"/>
    <n v="1"/>
    <m/>
    <m/>
    <n v="28"/>
    <n v="26"/>
    <m/>
    <m/>
    <m/>
    <m/>
    <m/>
    <m/>
    <m/>
    <m/>
    <m/>
    <m/>
    <m/>
    <m/>
    <m/>
    <m/>
    <m/>
    <m/>
    <m/>
  </r>
  <r>
    <x v="0"/>
    <n v="4"/>
    <s v="CAMP"/>
    <x v="3"/>
    <s v="2018-2019"/>
    <x v="8"/>
    <n v="1896"/>
    <n v="798"/>
    <n v="1098"/>
    <n v="14821"/>
    <n v="41"/>
    <n v="9"/>
    <n v="12"/>
    <n v="1410"/>
    <n v="48515.707763085884"/>
    <n v="890"/>
    <n v="1809"/>
    <n v="399"/>
    <n v="385"/>
    <n v="1634"/>
    <n v="753"/>
    <n v="347"/>
    <n v="348"/>
    <n v="331"/>
    <n v="1896"/>
    <n v="41514866.774999999"/>
    <n v="103"/>
    <n v="331"/>
    <n v="4126"/>
    <n v="28"/>
    <m/>
    <m/>
    <n v="610"/>
    <n v="412"/>
    <m/>
    <m/>
    <m/>
    <m/>
    <m/>
    <m/>
    <m/>
    <m/>
    <m/>
    <m/>
    <m/>
    <m/>
    <m/>
    <m/>
    <m/>
    <m/>
    <m/>
  </r>
  <r>
    <x v="0"/>
    <n v="7"/>
    <s v="CHIAP"/>
    <x v="4"/>
    <s v="2018-2019"/>
    <x v="8"/>
    <n v="7012"/>
    <n v="2491"/>
    <n v="4521"/>
    <n v="92666"/>
    <n v="161"/>
    <n v="18"/>
    <n v="49"/>
    <n v="5908"/>
    <n v="337660.69736999623"/>
    <n v="3014"/>
    <n v="7408"/>
    <n v="1967"/>
    <n v="1235"/>
    <n v="6960"/>
    <n v="2774"/>
    <n v="1786"/>
    <n v="1669"/>
    <n v="1457"/>
    <n v="7012"/>
    <n v="178638342.06"/>
    <n v="404"/>
    <n v="714"/>
    <n v="2459"/>
    <n v="59"/>
    <m/>
    <m/>
    <n v="104"/>
    <n v="92"/>
    <m/>
    <m/>
    <m/>
    <m/>
    <m/>
    <m/>
    <m/>
    <m/>
    <m/>
    <m/>
    <m/>
    <m/>
    <m/>
    <m/>
    <m/>
    <m/>
    <m/>
  </r>
  <r>
    <x v="0"/>
    <n v="8"/>
    <s v="CHIH"/>
    <x v="5"/>
    <s v="2018-2019"/>
    <x v="8"/>
    <n v="8573"/>
    <n v="3347"/>
    <n v="5226"/>
    <n v="55045"/>
    <n v="153"/>
    <n v="47"/>
    <n v="29"/>
    <n v="7550"/>
    <n v="203462.17822436258"/>
    <n v="4072"/>
    <n v="9203"/>
    <n v="2135"/>
    <n v="1907"/>
    <n v="8048"/>
    <n v="4125"/>
    <n v="1917"/>
    <n v="1759"/>
    <n v="1559"/>
    <n v="8573"/>
    <n v="170095384.97"/>
    <n v="579"/>
    <n v="983"/>
    <n v="7969"/>
    <n v="433"/>
    <m/>
    <m/>
    <n v="767"/>
    <n v="752"/>
    <n v="898"/>
    <m/>
    <m/>
    <m/>
    <m/>
    <m/>
    <m/>
    <m/>
    <m/>
    <m/>
    <m/>
    <m/>
    <m/>
    <m/>
    <m/>
    <m/>
    <m/>
  </r>
  <r>
    <x v="1"/>
    <n v="9"/>
    <s v="CDMX"/>
    <x v="6"/>
    <s v="2018-2019"/>
    <x v="8"/>
    <n v="44161"/>
    <n v="18512"/>
    <n v="25649"/>
    <n v="143823"/>
    <n v="582"/>
    <n v="136"/>
    <n v="134"/>
    <n v="35063"/>
    <n v="389384.78122435423"/>
    <n v="24850"/>
    <n v="44212"/>
    <n v="9312"/>
    <n v="12730"/>
    <n v="38202"/>
    <n v="19962"/>
    <n v="7909"/>
    <n v="7196"/>
    <n v="4704"/>
    <n v="44161"/>
    <n v="694705445.45000005"/>
    <n v="2173"/>
    <n v="3705"/>
    <n v="8387"/>
    <n v="998"/>
    <m/>
    <m/>
    <n v="1998"/>
    <n v="1708"/>
    <m/>
    <m/>
    <m/>
    <m/>
    <m/>
    <m/>
    <m/>
    <m/>
    <m/>
    <m/>
    <m/>
    <m/>
    <m/>
    <m/>
    <m/>
    <m/>
    <m/>
  </r>
  <r>
    <x v="0"/>
    <n v="5"/>
    <s v="COAH"/>
    <x v="7"/>
    <s v="2018-2019"/>
    <x v="8"/>
    <n v="10398"/>
    <n v="3963"/>
    <n v="6435"/>
    <n v="59454"/>
    <n v="134"/>
    <n v="45"/>
    <n v="37"/>
    <n v="9011"/>
    <n v="163335.43795797112"/>
    <n v="5009"/>
    <n v="10066"/>
    <n v="2703"/>
    <n v="776"/>
    <n v="9579"/>
    <n v="4120"/>
    <n v="2500"/>
    <n v="2042"/>
    <n v="2036"/>
    <n v="10398"/>
    <n v="150515608.10499999"/>
    <n v="419"/>
    <n v="1141"/>
    <n v="3892"/>
    <n v="34"/>
    <m/>
    <m/>
    <n v="357"/>
    <n v="335"/>
    <m/>
    <m/>
    <m/>
    <m/>
    <m/>
    <m/>
    <m/>
    <m/>
    <m/>
    <m/>
    <m/>
    <m/>
    <m/>
    <m/>
    <m/>
    <m/>
    <m/>
  </r>
  <r>
    <x v="0"/>
    <n v="6"/>
    <s v="COL"/>
    <x v="8"/>
    <s v="2018-2019"/>
    <x v="8"/>
    <n v="1891"/>
    <n v="763"/>
    <n v="1128"/>
    <n v="10048"/>
    <n v="47"/>
    <n v="6"/>
    <n v="11"/>
    <n v="1231"/>
    <n v="38472.361797444217"/>
    <n v="872"/>
    <n v="1866"/>
    <n v="425"/>
    <n v="468"/>
    <n v="1652"/>
    <n v="883"/>
    <n v="343"/>
    <n v="305"/>
    <n v="273"/>
    <n v="1891"/>
    <n v="41980594.155000001"/>
    <n v="124"/>
    <n v="320"/>
    <n v="1128"/>
    <n v="34"/>
    <m/>
    <m/>
    <n v="217"/>
    <n v="215"/>
    <m/>
    <m/>
    <m/>
    <m/>
    <m/>
    <m/>
    <m/>
    <m/>
    <m/>
    <m/>
    <m/>
    <m/>
    <m/>
    <m/>
    <m/>
    <m/>
    <m/>
  </r>
  <r>
    <x v="0"/>
    <n v="10"/>
    <s v="DGO"/>
    <x v="9"/>
    <s v="2018-2019"/>
    <x v="8"/>
    <n v="1930"/>
    <n v="744"/>
    <n v="1186"/>
    <n v="32285"/>
    <n v="51"/>
    <n v="19"/>
    <n v="10"/>
    <n v="1565"/>
    <n v="101820.24451699779"/>
    <n v="835"/>
    <n v="2067"/>
    <n v="408"/>
    <n v="508"/>
    <n v="1751"/>
    <n v="936"/>
    <n v="360"/>
    <n v="398"/>
    <n v="283"/>
    <n v="1930"/>
    <n v="41121216.439999998"/>
    <n v="156"/>
    <n v="260"/>
    <n v="3123"/>
    <n v="57"/>
    <m/>
    <m/>
    <n v="275"/>
    <n v="223"/>
    <m/>
    <m/>
    <m/>
    <m/>
    <m/>
    <m/>
    <m/>
    <m/>
    <m/>
    <m/>
    <m/>
    <m/>
    <m/>
    <m/>
    <m/>
    <m/>
    <m/>
  </r>
  <r>
    <x v="0"/>
    <n v="11"/>
    <s v="GTO"/>
    <x v="10"/>
    <s v="2018-2019"/>
    <x v="8"/>
    <n v="18132"/>
    <n v="6642"/>
    <n v="11490"/>
    <n v="120395"/>
    <n v="293"/>
    <n v="94"/>
    <n v="82"/>
    <n v="15005"/>
    <n v="336593.79068756441"/>
    <n v="8813"/>
    <n v="18067"/>
    <n v="4452"/>
    <n v="3578"/>
    <n v="17114"/>
    <n v="6444"/>
    <n v="4130"/>
    <n v="4047"/>
    <n v="3859"/>
    <n v="18132"/>
    <n v="262369796.815"/>
    <n v="863"/>
    <n v="2187"/>
    <n v="8126"/>
    <n v="516"/>
    <m/>
    <m/>
    <n v="8414"/>
    <n v="6410"/>
    <n v="16429"/>
    <m/>
    <m/>
    <m/>
    <m/>
    <m/>
    <m/>
    <m/>
    <m/>
    <m/>
    <m/>
    <m/>
    <m/>
    <m/>
    <m/>
    <m/>
    <m/>
  </r>
  <r>
    <x v="0"/>
    <n v="12"/>
    <s v="GRO"/>
    <x v="11"/>
    <s v="2018-2019"/>
    <x v="8"/>
    <n v="6134"/>
    <n v="2388"/>
    <n v="3746"/>
    <n v="65658"/>
    <n v="129"/>
    <n v="22"/>
    <n v="43"/>
    <n v="4957"/>
    <n v="219410.76827348556"/>
    <n v="3143"/>
    <n v="6152"/>
    <n v="1536"/>
    <n v="1461"/>
    <n v="5674"/>
    <n v="2626"/>
    <n v="1375"/>
    <n v="1362"/>
    <n v="875"/>
    <n v="6134"/>
    <n v="144889688"/>
    <n v="297"/>
    <n v="719"/>
    <n v="7440"/>
    <n v="1041"/>
    <m/>
    <m/>
    <n v="1289"/>
    <n v="852"/>
    <m/>
    <m/>
    <m/>
    <m/>
    <m/>
    <m/>
    <m/>
    <m/>
    <m/>
    <m/>
    <m/>
    <m/>
    <m/>
    <m/>
    <m/>
    <m/>
    <m/>
  </r>
  <r>
    <x v="0"/>
    <n v="13"/>
    <s v="HGO"/>
    <x v="12"/>
    <s v="2018-2019"/>
    <x v="8"/>
    <n v="3519"/>
    <n v="1421"/>
    <n v="2098"/>
    <n v="53733"/>
    <n v="69"/>
    <n v="38"/>
    <n v="17"/>
    <n v="3102"/>
    <n v="161832.19050681879"/>
    <n v="1648"/>
    <n v="3648"/>
    <n v="934"/>
    <n v="597"/>
    <n v="3341"/>
    <n v="1678"/>
    <n v="835"/>
    <n v="693"/>
    <n v="687"/>
    <n v="3519"/>
    <n v="64281548.229999997"/>
    <n v="205"/>
    <n v="428"/>
    <n v="1323"/>
    <n v="501"/>
    <m/>
    <m/>
    <n v="126"/>
    <n v="105"/>
    <m/>
    <m/>
    <m/>
    <m/>
    <m/>
    <m/>
    <m/>
    <m/>
    <m/>
    <m/>
    <m/>
    <m/>
    <m/>
    <m/>
    <m/>
    <m/>
    <m/>
  </r>
  <r>
    <x v="0"/>
    <n v="14"/>
    <s v="JAL"/>
    <x v="13"/>
    <s v="2018-2019"/>
    <x v="8"/>
    <n v="14341"/>
    <n v="5515"/>
    <n v="8826"/>
    <n v="134896"/>
    <n v="272"/>
    <n v="36"/>
    <n v="67"/>
    <n v="11644"/>
    <n v="433925.91746385908"/>
    <n v="5788"/>
    <n v="14856"/>
    <n v="3444"/>
    <n v="2927"/>
    <n v="13563"/>
    <n v="5953"/>
    <n v="3056"/>
    <n v="2823"/>
    <n v="2409"/>
    <n v="14341"/>
    <n v="265319155.36000001"/>
    <n v="818"/>
    <n v="2084"/>
    <n v="12472"/>
    <n v="793"/>
    <m/>
    <m/>
    <n v="236"/>
    <n v="158"/>
    <n v="602"/>
    <m/>
    <m/>
    <m/>
    <m/>
    <m/>
    <m/>
    <m/>
    <m/>
    <m/>
    <m/>
    <m/>
    <m/>
    <m/>
    <m/>
    <m/>
    <m/>
  </r>
  <r>
    <x v="0"/>
    <n v="15"/>
    <s v="MEX"/>
    <x v="14"/>
    <s v="2018-2019"/>
    <x v="8"/>
    <n v="47926"/>
    <n v="18922"/>
    <n v="29004"/>
    <n v="276938"/>
    <n v="799"/>
    <n v="182"/>
    <n v="205"/>
    <n v="41514"/>
    <n v="915661.71066119196"/>
    <n v="23969"/>
    <n v="48591"/>
    <n v="11056"/>
    <n v="8557"/>
    <n v="44232"/>
    <n v="20621"/>
    <n v="9450"/>
    <n v="8478"/>
    <n v="6665"/>
    <n v="47926"/>
    <n v="760825417.91999996"/>
    <n v="2280"/>
    <n v="4445"/>
    <n v="11415"/>
    <n v="1216"/>
    <m/>
    <m/>
    <n v="78681"/>
    <n v="67149"/>
    <n v="816"/>
    <m/>
    <m/>
    <m/>
    <m/>
    <m/>
    <m/>
    <m/>
    <m/>
    <m/>
    <m/>
    <m/>
    <m/>
    <m/>
    <m/>
    <m/>
    <m/>
  </r>
  <r>
    <x v="0"/>
    <n v="16"/>
    <s v="MICH"/>
    <x v="15"/>
    <s v="2018-2019"/>
    <x v="8"/>
    <n v="11087"/>
    <n v="4376"/>
    <n v="6711"/>
    <n v="64370"/>
    <n v="221"/>
    <n v="28"/>
    <n v="52"/>
    <n v="9457"/>
    <n v="255970.68001497566"/>
    <n v="5108"/>
    <n v="11181"/>
    <n v="2701"/>
    <n v="1051"/>
    <n v="10126"/>
    <n v="4395"/>
    <n v="2319"/>
    <n v="2425"/>
    <n v="2101"/>
    <n v="11087"/>
    <n v="207638682.71000001"/>
    <n v="440"/>
    <n v="1204"/>
    <n v="2699"/>
    <n v="428"/>
    <m/>
    <m/>
    <n v="11720"/>
    <n v="7206"/>
    <m/>
    <m/>
    <m/>
    <m/>
    <m/>
    <m/>
    <m/>
    <m/>
    <m/>
    <m/>
    <m/>
    <m/>
    <m/>
    <m/>
    <m/>
    <m/>
    <m/>
  </r>
  <r>
    <x v="0"/>
    <n v="17"/>
    <s v="MOR"/>
    <x v="16"/>
    <s v="2018-2019"/>
    <x v="8"/>
    <n v="4640"/>
    <n v="1846"/>
    <n v="2794"/>
    <n v="31140"/>
    <n v="74"/>
    <n v="15"/>
    <n v="13"/>
    <n v="3870"/>
    <n v="101124.76256756038"/>
    <n v="2179"/>
    <n v="4697"/>
    <n v="1134"/>
    <n v="956"/>
    <n v="4189"/>
    <n v="1929"/>
    <n v="1036"/>
    <n v="1076"/>
    <n v="978"/>
    <n v="4640"/>
    <n v="70347282.655000001"/>
    <n v="238"/>
    <n v="532"/>
    <n v="2994"/>
    <n v="612"/>
    <m/>
    <m/>
    <n v="1887"/>
    <n v="1873"/>
    <m/>
    <m/>
    <m/>
    <m/>
    <m/>
    <m/>
    <m/>
    <m/>
    <m/>
    <m/>
    <m/>
    <m/>
    <m/>
    <m/>
    <m/>
    <m/>
    <m/>
  </r>
  <r>
    <x v="0"/>
    <n v="18"/>
    <s v="NAY"/>
    <x v="17"/>
    <s v="2018-2019"/>
    <x v="8"/>
    <n v="2794"/>
    <n v="1114"/>
    <n v="1680"/>
    <n v="18794"/>
    <n v="59"/>
    <n v="10"/>
    <n v="14"/>
    <n v="2431"/>
    <n v="67820.162576919043"/>
    <n v="1332"/>
    <n v="3065"/>
    <n v="698"/>
    <n v="808"/>
    <n v="2638"/>
    <n v="1264"/>
    <n v="630"/>
    <n v="588"/>
    <n v="421"/>
    <n v="2794"/>
    <n v="52976716.07"/>
    <n v="124"/>
    <n v="361"/>
    <n v="2109"/>
    <n v="111"/>
    <m/>
    <m/>
    <n v="2"/>
    <n v="2"/>
    <m/>
    <m/>
    <m/>
    <m/>
    <m/>
    <m/>
    <m/>
    <m/>
    <m/>
    <m/>
    <m/>
    <m/>
    <m/>
    <m/>
    <m/>
    <m/>
    <m/>
  </r>
  <r>
    <x v="0"/>
    <n v="19"/>
    <s v="NL"/>
    <x v="18"/>
    <s v="2018-2019"/>
    <x v="8"/>
    <n v="21326"/>
    <n v="7840"/>
    <n v="13486"/>
    <n v="94982"/>
    <n v="295"/>
    <n v="66"/>
    <n v="78"/>
    <n v="17243"/>
    <n v="266980.64734868531"/>
    <n v="9033"/>
    <n v="21351"/>
    <n v="4726"/>
    <n v="4121"/>
    <n v="19837"/>
    <n v="8223"/>
    <n v="4378"/>
    <n v="3658"/>
    <n v="3518"/>
    <n v="21326"/>
    <n v="243463751.80000001"/>
    <n v="1084"/>
    <n v="1549"/>
    <n v="27119"/>
    <n v="2664"/>
    <m/>
    <m/>
    <n v="90276"/>
    <n v="58432"/>
    <n v="426"/>
    <m/>
    <m/>
    <m/>
    <m/>
    <m/>
    <m/>
    <m/>
    <m/>
    <m/>
    <m/>
    <m/>
    <m/>
    <m/>
    <m/>
    <m/>
    <m/>
  </r>
  <r>
    <x v="1"/>
    <n v="20"/>
    <s v="OAX"/>
    <x v="19"/>
    <s v="2018-2019"/>
    <x v="8"/>
    <n v="6115"/>
    <n v="2220"/>
    <n v="3895"/>
    <n v="65886"/>
    <n v="119"/>
    <n v="25"/>
    <n v="29"/>
    <n v="5054"/>
    <n v="234207.61868783121"/>
    <n v="2753"/>
    <n v="6380"/>
    <n v="1573"/>
    <n v="1422"/>
    <n v="5933"/>
    <n v="2568"/>
    <n v="1373"/>
    <n v="1128"/>
    <n v="789"/>
    <n v="6115"/>
    <n v="198204901.90000001"/>
    <n v="400"/>
    <n v="637"/>
    <n v="3586"/>
    <n v="20"/>
    <m/>
    <m/>
    <n v="635"/>
    <n v="549"/>
    <m/>
    <m/>
    <m/>
    <m/>
    <m/>
    <m/>
    <m/>
    <m/>
    <m/>
    <m/>
    <m/>
    <m/>
    <m/>
    <m/>
    <m/>
    <m/>
    <m/>
  </r>
  <r>
    <x v="0"/>
    <n v="21"/>
    <s v="PUE"/>
    <x v="20"/>
    <s v="2018-2019"/>
    <x v="8"/>
    <n v="7310"/>
    <n v="2756"/>
    <n v="4554"/>
    <n v="120674"/>
    <n v="151"/>
    <n v="36"/>
    <n v="40"/>
    <n v="6135"/>
    <n v="362648.64012946235"/>
    <n v="3917"/>
    <n v="7439"/>
    <n v="1955"/>
    <n v="764"/>
    <n v="6929"/>
    <n v="2822"/>
    <n v="1769"/>
    <n v="1669"/>
    <n v="1497"/>
    <n v="7310"/>
    <n v="151077190.185"/>
    <n v="397"/>
    <n v="1005"/>
    <n v="3898"/>
    <n v="151"/>
    <m/>
    <m/>
    <n v="4572"/>
    <n v="3346"/>
    <m/>
    <m/>
    <m/>
    <m/>
    <m/>
    <m/>
    <m/>
    <m/>
    <m/>
    <m/>
    <m/>
    <m/>
    <m/>
    <m/>
    <m/>
    <m/>
    <m/>
  </r>
  <r>
    <x v="0"/>
    <n v="22"/>
    <s v="QRO"/>
    <x v="21"/>
    <s v="2018-2019"/>
    <x v="8"/>
    <n v="3473"/>
    <n v="1380"/>
    <n v="2093"/>
    <n v="34202"/>
    <n v="67"/>
    <n v="24"/>
    <n v="28"/>
    <n v="2993"/>
    <n v="112953.81869980853"/>
    <n v="1968"/>
    <n v="3418"/>
    <n v="829"/>
    <n v="797"/>
    <n v="3178"/>
    <n v="1374"/>
    <n v="745"/>
    <n v="811"/>
    <n v="778"/>
    <n v="3473"/>
    <n v="53835720.295000002"/>
    <n v="241"/>
    <n v="449"/>
    <n v="1223"/>
    <n v="80"/>
    <m/>
    <m/>
    <n v="4"/>
    <n v="2"/>
    <m/>
    <m/>
    <m/>
    <m/>
    <m/>
    <m/>
    <m/>
    <m/>
    <m/>
    <m/>
    <m/>
    <m/>
    <m/>
    <m/>
    <m/>
    <m/>
    <m/>
  </r>
  <r>
    <x v="0"/>
    <n v="23"/>
    <s v="QROO"/>
    <x v="22"/>
    <s v="2018-2019"/>
    <x v="8"/>
    <n v="8590"/>
    <n v="3139"/>
    <n v="5451"/>
    <n v="26046"/>
    <n v="109"/>
    <n v="15"/>
    <n v="29"/>
    <n v="6895"/>
    <n v="85062.009804503905"/>
    <n v="3612"/>
    <n v="8622"/>
    <n v="1955"/>
    <n v="1409"/>
    <n v="8020"/>
    <n v="3286"/>
    <n v="1786"/>
    <n v="1512"/>
    <n v="1353"/>
    <n v="8590"/>
    <n v="100698271.145"/>
    <n v="425"/>
    <n v="771"/>
    <n v="2332"/>
    <n v="11"/>
    <m/>
    <m/>
    <n v="174"/>
    <n v="148"/>
    <m/>
    <m/>
    <m/>
    <m/>
    <m/>
    <m/>
    <m/>
    <m/>
    <m/>
    <m/>
    <m/>
    <m/>
    <m/>
    <m/>
    <m/>
    <m/>
    <m/>
  </r>
  <r>
    <x v="0"/>
    <n v="24"/>
    <s v="SLP"/>
    <x v="23"/>
    <s v="2018-2019"/>
    <x v="8"/>
    <n v="5259"/>
    <n v="1930"/>
    <n v="3329"/>
    <n v="57201"/>
    <n v="99"/>
    <n v="24"/>
    <n v="24"/>
    <n v="4224"/>
    <n v="158793.48904400849"/>
    <n v="2424"/>
    <n v="5729"/>
    <n v="1320"/>
    <n v="1411"/>
    <n v="5053"/>
    <n v="2258"/>
    <n v="1163"/>
    <n v="989"/>
    <n v="912"/>
    <n v="5259"/>
    <n v="88231432.405000001"/>
    <n v="246"/>
    <n v="427"/>
    <n v="3301"/>
    <n v="87"/>
    <m/>
    <m/>
    <n v="578"/>
    <n v="556"/>
    <m/>
    <m/>
    <m/>
    <m/>
    <m/>
    <m/>
    <m/>
    <m/>
    <m/>
    <m/>
    <m/>
    <m/>
    <m/>
    <m/>
    <m/>
    <m/>
    <m/>
  </r>
  <r>
    <x v="0"/>
    <n v="25"/>
    <s v="SIN"/>
    <x v="24"/>
    <s v="2018-2019"/>
    <x v="8"/>
    <n v="8604"/>
    <n v="3373"/>
    <n v="5231"/>
    <n v="52946"/>
    <n v="234"/>
    <n v="72"/>
    <n v="42"/>
    <n v="7544"/>
    <n v="162640.48544064179"/>
    <n v="3775"/>
    <n v="8577"/>
    <n v="2101"/>
    <n v="1875"/>
    <n v="7910"/>
    <n v="3326"/>
    <n v="1964"/>
    <n v="1739"/>
    <n v="1696"/>
    <n v="8604"/>
    <n v="247272786.785"/>
    <n v="529"/>
    <n v="1117"/>
    <n v="487"/>
    <n v="124"/>
    <m/>
    <m/>
    <n v="57"/>
    <n v="14"/>
    <m/>
    <m/>
    <m/>
    <m/>
    <m/>
    <m/>
    <m/>
    <m/>
    <m/>
    <m/>
    <m/>
    <m/>
    <m/>
    <m/>
    <m/>
    <m/>
    <m/>
  </r>
  <r>
    <x v="0"/>
    <n v="26"/>
    <s v="SON"/>
    <x v="25"/>
    <s v="2018-2019"/>
    <x v="8"/>
    <n v="14826"/>
    <n v="5940"/>
    <n v="8886"/>
    <n v="47160"/>
    <n v="269"/>
    <n v="47"/>
    <n v="51"/>
    <n v="12472"/>
    <n v="160641.37028213684"/>
    <n v="6161"/>
    <n v="15277"/>
    <n v="2926"/>
    <n v="4038"/>
    <n v="13713"/>
    <n v="6199"/>
    <n v="2606"/>
    <n v="2463"/>
    <n v="1715"/>
    <n v="14826"/>
    <n v="226945796.19499999"/>
    <n v="662"/>
    <n v="857"/>
    <n v="5794"/>
    <n v="494"/>
    <m/>
    <m/>
    <n v="5"/>
    <n v="0"/>
    <m/>
    <m/>
    <m/>
    <m/>
    <m/>
    <m/>
    <m/>
    <m/>
    <m/>
    <m/>
    <m/>
    <m/>
    <m/>
    <m/>
    <m/>
    <m/>
    <m/>
  </r>
  <r>
    <x v="0"/>
    <n v="27"/>
    <s v="TAB"/>
    <x v="26"/>
    <s v="2018-2019"/>
    <x v="8"/>
    <n v="5608"/>
    <n v="2062"/>
    <n v="3546"/>
    <n v="41273"/>
    <n v="88"/>
    <n v="21"/>
    <n v="22"/>
    <n v="4932"/>
    <n v="133002.08940500516"/>
    <n v="2062"/>
    <n v="5685"/>
    <n v="1527"/>
    <n v="644"/>
    <n v="5316"/>
    <n v="2280"/>
    <n v="1398"/>
    <n v="1303"/>
    <n v="1195"/>
    <n v="5608"/>
    <n v="112835125.86"/>
    <n v="294"/>
    <n v="484"/>
    <n v="430"/>
    <n v="27"/>
    <m/>
    <m/>
    <n v="132"/>
    <n v="71"/>
    <m/>
    <m/>
    <m/>
    <m/>
    <m/>
    <m/>
    <m/>
    <m/>
    <m/>
    <m/>
    <m/>
    <m/>
    <m/>
    <m/>
    <m/>
    <m/>
    <m/>
  </r>
  <r>
    <x v="0"/>
    <n v="28"/>
    <s v="TAMPS"/>
    <x v="27"/>
    <s v="2018-2019"/>
    <x v="8"/>
    <n v="8533"/>
    <n v="3183"/>
    <n v="5350"/>
    <n v="51248"/>
    <n v="157"/>
    <n v="30"/>
    <n v="37"/>
    <n v="7449"/>
    <n v="187732.87996738573"/>
    <n v="3548"/>
    <n v="8707"/>
    <n v="2052"/>
    <n v="1820"/>
    <n v="8137"/>
    <n v="3517"/>
    <n v="1856"/>
    <n v="1898"/>
    <n v="1630"/>
    <n v="8533"/>
    <n v="175108866.91499999"/>
    <n v="388"/>
    <n v="1077"/>
    <n v="10400"/>
    <n v="171"/>
    <m/>
    <m/>
    <n v="160"/>
    <n v="131"/>
    <n v="104"/>
    <m/>
    <m/>
    <m/>
    <m/>
    <m/>
    <m/>
    <m/>
    <m/>
    <m/>
    <m/>
    <m/>
    <m/>
    <m/>
    <m/>
    <m/>
    <m/>
  </r>
  <r>
    <x v="0"/>
    <n v="29"/>
    <s v="TLAX"/>
    <x v="28"/>
    <s v="2018-2019"/>
    <x v="8"/>
    <n v="3232"/>
    <n v="1170"/>
    <n v="2062"/>
    <n v="23003"/>
    <n v="49"/>
    <n v="18"/>
    <n v="15"/>
    <n v="2871"/>
    <n v="74315.320716950271"/>
    <n v="1389"/>
    <n v="3243"/>
    <n v="709"/>
    <n v="387"/>
    <n v="2964"/>
    <n v="1143"/>
    <n v="594"/>
    <n v="562"/>
    <n v="546"/>
    <n v="3232"/>
    <n v="42775667.829999998"/>
    <n v="182"/>
    <n v="455"/>
    <n v="2082"/>
    <n v="119"/>
    <m/>
    <m/>
    <n v="26"/>
    <n v="23"/>
    <m/>
    <m/>
    <m/>
    <m/>
    <m/>
    <m/>
    <m/>
    <m/>
    <m/>
    <m/>
    <m/>
    <m/>
    <m/>
    <m/>
    <m/>
    <m/>
    <m/>
  </r>
  <r>
    <x v="0"/>
    <n v="30"/>
    <s v="VER"/>
    <x v="29"/>
    <s v="2018-2019"/>
    <x v="8"/>
    <n v="8858"/>
    <n v="3279"/>
    <n v="5579"/>
    <n v="131256"/>
    <n v="174"/>
    <n v="42"/>
    <n v="77"/>
    <n v="7747"/>
    <n v="432896.89882477239"/>
    <n v="4334"/>
    <n v="9115"/>
    <n v="2633"/>
    <n v="1053"/>
    <n v="8678"/>
    <n v="3736"/>
    <n v="2472"/>
    <n v="2218"/>
    <n v="1979"/>
    <n v="8858"/>
    <n v="234497481.155"/>
    <n v="531"/>
    <n v="1543"/>
    <n v="7078"/>
    <n v="132"/>
    <m/>
    <m/>
    <n v="907"/>
    <n v="768"/>
    <n v="720"/>
    <m/>
    <m/>
    <m/>
    <m/>
    <m/>
    <m/>
    <m/>
    <m/>
    <m/>
    <m/>
    <m/>
    <m/>
    <m/>
    <m/>
    <m/>
    <m/>
  </r>
  <r>
    <x v="0"/>
    <n v="31"/>
    <s v="YUC"/>
    <x v="30"/>
    <s v="2018-2019"/>
    <x v="8"/>
    <n v="5303"/>
    <n v="1915"/>
    <n v="3388"/>
    <n v="35849"/>
    <n v="69"/>
    <n v="9"/>
    <n v="20"/>
    <n v="3944"/>
    <n v="110271.51218978132"/>
    <n v="2492"/>
    <n v="5258"/>
    <n v="1162"/>
    <n v="1197"/>
    <n v="4990"/>
    <n v="1913"/>
    <n v="1030"/>
    <n v="1031"/>
    <n v="820"/>
    <n v="5303"/>
    <n v="109480043.905"/>
    <n v="277"/>
    <n v="484"/>
    <n v="3327"/>
    <n v="525"/>
    <m/>
    <m/>
    <n v="445"/>
    <n v="433"/>
    <m/>
    <m/>
    <m/>
    <m/>
    <m/>
    <m/>
    <m/>
    <m/>
    <m/>
    <m/>
    <m/>
    <m/>
    <m/>
    <m/>
    <m/>
    <m/>
    <m/>
  </r>
  <r>
    <x v="0"/>
    <n v="32"/>
    <s v="ZAC"/>
    <x v="31"/>
    <s v="2018-2019"/>
    <x v="8"/>
    <n v="1538"/>
    <n v="619"/>
    <n v="919"/>
    <n v="26709"/>
    <n v="60"/>
    <n v="18"/>
    <n v="7"/>
    <n v="1226"/>
    <n v="89190.403622109137"/>
    <n v="671"/>
    <n v="1552"/>
    <n v="311"/>
    <n v="503"/>
    <n v="1377"/>
    <n v="779"/>
    <n v="262"/>
    <n v="260"/>
    <n v="259"/>
    <n v="1538"/>
    <n v="41952964.865000002"/>
    <n v="85"/>
    <n v="197"/>
    <n v="2252"/>
    <n v="218"/>
    <m/>
    <m/>
    <n v="78"/>
    <n v="78"/>
    <m/>
    <m/>
    <m/>
    <m/>
    <m/>
    <m/>
    <m/>
    <m/>
    <m/>
    <m/>
    <m/>
    <m/>
    <m/>
    <m/>
    <m/>
    <m/>
    <m/>
  </r>
  <r>
    <x v="2"/>
    <n v="33"/>
    <s v="OTRO"/>
    <x v="32"/>
    <s v="2018-2019"/>
    <x v="8"/>
    <m/>
    <m/>
    <m/>
    <m/>
    <m/>
    <m/>
    <m/>
    <m/>
    <m/>
    <m/>
    <m/>
    <m/>
    <m/>
    <m/>
    <m/>
    <m/>
    <m/>
    <m/>
    <m/>
    <m/>
    <m/>
    <m/>
    <m/>
    <m/>
    <m/>
    <m/>
    <n v="707"/>
    <n v="664"/>
    <m/>
    <m/>
    <m/>
    <m/>
    <m/>
    <m/>
    <m/>
    <m/>
    <m/>
    <m/>
    <m/>
    <m/>
    <m/>
    <m/>
    <m/>
    <m/>
    <m/>
  </r>
  <r>
    <x v="1"/>
    <n v="0"/>
    <s v="ON"/>
    <x v="33"/>
    <s v="2018-2019"/>
    <x v="8"/>
    <m/>
    <m/>
    <m/>
    <m/>
    <m/>
    <m/>
    <m/>
    <m/>
    <m/>
    <m/>
    <m/>
    <m/>
    <m/>
    <m/>
    <m/>
    <m/>
    <m/>
    <m/>
    <m/>
    <m/>
    <m/>
    <m/>
    <n v="1188"/>
    <m/>
    <m/>
    <m/>
    <n v="9842"/>
    <n v="9103"/>
    <m/>
    <n v="367837.29021000001"/>
    <n v="1578480"/>
    <n v="1578480"/>
    <n v="1583166"/>
    <n v="1528166.3060000001"/>
    <n v="1528166.3060000001"/>
    <n v="1574833.44"/>
    <n v="1579519.281"/>
    <n v="3647.0250000000001"/>
    <n v="3647.0250000000001"/>
    <n v="50314.159"/>
    <n v="1578480.4650000001"/>
    <n v="50568.584999999999"/>
    <n v="55000"/>
    <n v="1578480.4650000001"/>
    <n v="1583166.3060000001"/>
  </r>
  <r>
    <x v="0"/>
    <n v="1"/>
    <s v="AGS"/>
    <x v="0"/>
    <s v="2019-2020"/>
    <x v="9"/>
    <n v="4532"/>
    <n v="1624"/>
    <n v="2908"/>
    <n v="20849"/>
    <n v="83"/>
    <n v="19"/>
    <n v="22"/>
    <n v="4229"/>
    <n v="76089.885340188019"/>
    <n v="2841"/>
    <n v="4691"/>
    <n v="1274"/>
    <n v="744"/>
    <n v="4422"/>
    <n v="1649"/>
    <n v="1121"/>
    <n v="1070"/>
    <n v="980"/>
    <n v="4532"/>
    <n v="72608135.109999999"/>
    <n v="284"/>
    <n v="429"/>
    <n v="2286"/>
    <n v="229"/>
    <m/>
    <m/>
    <n v="928"/>
    <n v="837"/>
    <m/>
    <m/>
    <m/>
    <m/>
    <m/>
    <m/>
    <m/>
    <m/>
    <m/>
    <m/>
    <m/>
    <m/>
    <m/>
    <m/>
    <m/>
    <m/>
    <m/>
  </r>
  <r>
    <x v="0"/>
    <n v="2"/>
    <s v="BC"/>
    <x v="1"/>
    <s v="2019-2020"/>
    <x v="9"/>
    <n v="8748"/>
    <n v="3476"/>
    <n v="5272"/>
    <n v="54463"/>
    <n v="125"/>
    <n v="32"/>
    <n v="24"/>
    <n v="7161"/>
    <n v="186332.64311271018"/>
    <n v="3993"/>
    <n v="8462"/>
    <n v="1919"/>
    <n v="2160"/>
    <n v="7683"/>
    <n v="3472"/>
    <n v="1641"/>
    <n v="1412"/>
    <n v="1310"/>
    <n v="8748"/>
    <n v="142428325.71000001"/>
    <n v="398"/>
    <n v="749"/>
    <n v="4935"/>
    <n v="94"/>
    <m/>
    <m/>
    <n v="4087"/>
    <n v="3004"/>
    <n v="167"/>
    <m/>
    <m/>
    <m/>
    <m/>
    <m/>
    <m/>
    <m/>
    <m/>
    <m/>
    <m/>
    <m/>
    <m/>
    <m/>
    <m/>
    <m/>
    <m/>
  </r>
  <r>
    <x v="0"/>
    <n v="3"/>
    <s v="BCS"/>
    <x v="2"/>
    <s v="2019-2020"/>
    <x v="9"/>
    <n v="1538"/>
    <n v="602"/>
    <n v="936"/>
    <n v="12072"/>
    <n v="18"/>
    <n v="5"/>
    <n v="1"/>
    <n v="1248"/>
    <n v="43628.798319416732"/>
    <n v="951"/>
    <n v="1697"/>
    <n v="505"/>
    <n v="274"/>
    <n v="1592"/>
    <n v="795"/>
    <n v="443"/>
    <n v="344"/>
    <n v="332"/>
    <n v="1538"/>
    <n v="35740883.659999996"/>
    <n v="87"/>
    <n v="217"/>
    <n v="427"/>
    <n v="113"/>
    <m/>
    <m/>
    <n v="1"/>
    <n v="1"/>
    <m/>
    <m/>
    <m/>
    <m/>
    <m/>
    <m/>
    <m/>
    <m/>
    <m/>
    <m/>
    <m/>
    <m/>
    <m/>
    <m/>
    <m/>
    <m/>
    <m/>
  </r>
  <r>
    <x v="0"/>
    <n v="4"/>
    <s v="CAMP"/>
    <x v="3"/>
    <s v="2019-2020"/>
    <x v="9"/>
    <n v="1953"/>
    <n v="758"/>
    <n v="1195"/>
    <n v="13383"/>
    <n v="39"/>
    <n v="9"/>
    <n v="13"/>
    <n v="1493"/>
    <n v="48648.813757323194"/>
    <n v="853"/>
    <n v="1896"/>
    <n v="419"/>
    <n v="350"/>
    <n v="1719"/>
    <n v="694"/>
    <n v="356"/>
    <n v="347"/>
    <n v="320"/>
    <n v="1953"/>
    <n v="42748511.799999997"/>
    <n v="116"/>
    <n v="331"/>
    <n v="1651"/>
    <n v="210"/>
    <m/>
    <m/>
    <n v="2167"/>
    <n v="1206"/>
    <m/>
    <m/>
    <m/>
    <m/>
    <m/>
    <m/>
    <m/>
    <m/>
    <m/>
    <m/>
    <m/>
    <m/>
    <m/>
    <m/>
    <m/>
    <m/>
    <m/>
  </r>
  <r>
    <x v="0"/>
    <n v="7"/>
    <s v="CHIAP"/>
    <x v="4"/>
    <s v="2019-2020"/>
    <x v="9"/>
    <n v="6623"/>
    <n v="2428"/>
    <n v="4195"/>
    <n v="90374"/>
    <n v="160"/>
    <n v="17"/>
    <n v="51"/>
    <n v="5608"/>
    <n v="335802.49652896059"/>
    <n v="2787"/>
    <n v="7012"/>
    <n v="1861"/>
    <n v="1085"/>
    <n v="6457"/>
    <n v="2843"/>
    <n v="1737"/>
    <n v="1786"/>
    <n v="1515"/>
    <n v="6623"/>
    <n v="183695298.33000001"/>
    <n v="418"/>
    <n v="714"/>
    <n v="4373"/>
    <n v="5"/>
    <m/>
    <m/>
    <n v="1643"/>
    <n v="970"/>
    <m/>
    <m/>
    <m/>
    <m/>
    <m/>
    <m/>
    <m/>
    <m/>
    <m/>
    <m/>
    <m/>
    <m/>
    <m/>
    <m/>
    <m/>
    <m/>
    <m/>
  </r>
  <r>
    <x v="0"/>
    <n v="8"/>
    <s v="CHIH"/>
    <x v="5"/>
    <s v="2019-2020"/>
    <x v="9"/>
    <n v="8863"/>
    <n v="3750"/>
    <n v="5113"/>
    <n v="53608"/>
    <n v="154"/>
    <n v="47"/>
    <n v="32"/>
    <n v="7998"/>
    <n v="204016.35908100085"/>
    <n v="4543"/>
    <n v="8573"/>
    <n v="2032"/>
    <n v="1568"/>
    <n v="7601"/>
    <n v="3667"/>
    <n v="1790"/>
    <n v="1917"/>
    <n v="1782"/>
    <n v="8863"/>
    <n v="174884579"/>
    <n v="559"/>
    <n v="983"/>
    <n v="7114"/>
    <n v="287"/>
    <m/>
    <m/>
    <n v="1495"/>
    <n v="1449"/>
    <n v="442"/>
    <m/>
    <m/>
    <m/>
    <m/>
    <m/>
    <m/>
    <m/>
    <m/>
    <m/>
    <m/>
    <m/>
    <m/>
    <m/>
    <m/>
    <m/>
    <m/>
  </r>
  <r>
    <x v="1"/>
    <n v="9"/>
    <s v="CDMX"/>
    <x v="6"/>
    <s v="2019-2020"/>
    <x v="9"/>
    <n v="43931"/>
    <n v="18983"/>
    <n v="24948"/>
    <n v="139064"/>
    <n v="584"/>
    <n v="136"/>
    <n v="135"/>
    <n v="36136"/>
    <n v="385103.78166493616"/>
    <n v="24489"/>
    <n v="44161"/>
    <n v="9386"/>
    <n v="11002"/>
    <n v="36721"/>
    <n v="19341"/>
    <n v="7859"/>
    <n v="7909"/>
    <n v="5203"/>
    <n v="43931"/>
    <n v="701763917"/>
    <n v="2154"/>
    <n v="3705"/>
    <n v="10338"/>
    <n v="706"/>
    <m/>
    <m/>
    <n v="2918"/>
    <n v="2400"/>
    <m/>
    <m/>
    <m/>
    <m/>
    <m/>
    <m/>
    <m/>
    <m/>
    <m/>
    <m/>
    <m/>
    <m/>
    <m/>
    <m/>
    <m/>
    <m/>
    <m/>
  </r>
  <r>
    <x v="0"/>
    <n v="5"/>
    <s v="COAH"/>
    <x v="7"/>
    <s v="2019-2020"/>
    <x v="9"/>
    <n v="10427"/>
    <n v="3726"/>
    <n v="6701"/>
    <n v="47544"/>
    <n v="134"/>
    <n v="45"/>
    <n v="37"/>
    <n v="9107"/>
    <n v="162883.98811697579"/>
    <n v="4645"/>
    <n v="10398"/>
    <n v="2553"/>
    <n v="1019"/>
    <n v="9757"/>
    <n v="3694"/>
    <n v="2399"/>
    <n v="2500"/>
    <n v="2496"/>
    <n v="10427"/>
    <n v="154967201.58000001"/>
    <n v="427"/>
    <n v="1141"/>
    <n v="3782"/>
    <n v="97"/>
    <m/>
    <m/>
    <n v="703"/>
    <n v="468"/>
    <m/>
    <m/>
    <m/>
    <m/>
    <m/>
    <m/>
    <m/>
    <m/>
    <m/>
    <m/>
    <m/>
    <m/>
    <m/>
    <m/>
    <m/>
    <m/>
    <m/>
  </r>
  <r>
    <x v="0"/>
    <n v="6"/>
    <s v="COL"/>
    <x v="8"/>
    <s v="2019-2020"/>
    <x v="9"/>
    <n v="1934"/>
    <n v="773"/>
    <n v="1161"/>
    <n v="11054"/>
    <n v="47"/>
    <n v="6"/>
    <n v="11"/>
    <n v="1270"/>
    <n v="38915.402748821303"/>
    <n v="864"/>
    <n v="1891"/>
    <n v="431"/>
    <n v="414"/>
    <n v="1679"/>
    <n v="861"/>
    <n v="349"/>
    <n v="343"/>
    <n v="332"/>
    <n v="1934"/>
    <n v="43224096.950000003"/>
    <n v="111"/>
    <n v="320"/>
    <n v="1068"/>
    <n v="51"/>
    <m/>
    <m/>
    <n v="512"/>
    <n v="341"/>
    <m/>
    <m/>
    <m/>
    <m/>
    <m/>
    <m/>
    <m/>
    <m/>
    <m/>
    <m/>
    <m/>
    <m/>
    <m/>
    <m/>
    <m/>
    <m/>
    <m/>
  </r>
  <r>
    <x v="0"/>
    <n v="10"/>
    <s v="DGO"/>
    <x v="9"/>
    <s v="2019-2020"/>
    <x v="9"/>
    <n v="1888"/>
    <n v="716"/>
    <n v="1172"/>
    <n v="27183"/>
    <n v="51"/>
    <n v="19"/>
    <n v="10"/>
    <n v="1537"/>
    <n v="101264.61839162641"/>
    <n v="796"/>
    <n v="1930"/>
    <n v="366"/>
    <n v="424"/>
    <n v="1643"/>
    <n v="853"/>
    <n v="325"/>
    <n v="360"/>
    <n v="213"/>
    <n v="1888"/>
    <n v="42371782.68"/>
    <n v="155"/>
    <n v="260"/>
    <n v="3862"/>
    <n v="95"/>
    <m/>
    <m/>
    <n v="182"/>
    <n v="139"/>
    <m/>
    <m/>
    <m/>
    <m/>
    <m/>
    <m/>
    <m/>
    <m/>
    <m/>
    <m/>
    <m/>
    <m/>
    <m/>
    <m/>
    <m/>
    <m/>
    <m/>
  </r>
  <r>
    <x v="0"/>
    <n v="11"/>
    <s v="GTO"/>
    <x v="10"/>
    <s v="2019-2020"/>
    <x v="9"/>
    <n v="18159"/>
    <n v="6879"/>
    <n v="11280"/>
    <n v="99785"/>
    <n v="308"/>
    <n v="90"/>
    <n v="82"/>
    <n v="15394"/>
    <n v="334756.67082686559"/>
    <n v="8281"/>
    <n v="18132"/>
    <n v="4803"/>
    <n v="2813"/>
    <n v="16748"/>
    <n v="7056"/>
    <n v="4547"/>
    <n v="4130"/>
    <n v="3923"/>
    <n v="18159"/>
    <n v="269451908.74000001"/>
    <n v="856"/>
    <n v="2187"/>
    <n v="2782"/>
    <n v="579"/>
    <m/>
    <m/>
    <n v="2447"/>
    <n v="2222"/>
    <n v="13361"/>
    <m/>
    <m/>
    <m/>
    <m/>
    <m/>
    <m/>
    <m/>
    <m/>
    <m/>
    <m/>
    <m/>
    <m/>
    <m/>
    <m/>
    <m/>
    <m/>
  </r>
  <r>
    <x v="0"/>
    <n v="12"/>
    <s v="GRO"/>
    <x v="11"/>
    <s v="2019-2020"/>
    <x v="9"/>
    <n v="6068"/>
    <n v="2417"/>
    <n v="3651"/>
    <n v="60714"/>
    <n v="134"/>
    <n v="26"/>
    <n v="41"/>
    <n v="5092"/>
    <n v="217567.81668356401"/>
    <n v="3098"/>
    <n v="6134"/>
    <n v="1485"/>
    <n v="1332"/>
    <n v="5539"/>
    <n v="2388"/>
    <n v="1372"/>
    <n v="1375"/>
    <n v="986"/>
    <n v="6068"/>
    <n v="149018016"/>
    <n v="302"/>
    <n v="719"/>
    <n v="14643"/>
    <n v="1315"/>
    <m/>
    <m/>
    <n v="1633"/>
    <n v="1392"/>
    <m/>
    <m/>
    <m/>
    <m/>
    <m/>
    <m/>
    <m/>
    <m/>
    <m/>
    <m/>
    <m/>
    <m/>
    <m/>
    <m/>
    <m/>
    <m/>
    <m/>
  </r>
  <r>
    <x v="0"/>
    <n v="13"/>
    <s v="HGO"/>
    <x v="12"/>
    <s v="2019-2020"/>
    <x v="9"/>
    <n v="3685"/>
    <n v="1520"/>
    <n v="2165"/>
    <n v="54211"/>
    <n v="72"/>
    <n v="37"/>
    <n v="17"/>
    <n v="3289"/>
    <n v="162292.16634456621"/>
    <n v="1784"/>
    <n v="3519"/>
    <n v="921"/>
    <n v="367"/>
    <n v="3232"/>
    <n v="1609"/>
    <n v="819"/>
    <n v="835"/>
    <n v="824"/>
    <n v="3685"/>
    <n v="66211880.299999997"/>
    <n v="200"/>
    <n v="428"/>
    <n v="190"/>
    <n v="482"/>
    <m/>
    <m/>
    <n v="603"/>
    <n v="391"/>
    <m/>
    <m/>
    <m/>
    <m/>
    <m/>
    <m/>
    <m/>
    <m/>
    <m/>
    <m/>
    <m/>
    <m/>
    <m/>
    <m/>
    <m/>
    <m/>
    <m/>
  </r>
  <r>
    <x v="0"/>
    <n v="14"/>
    <s v="JAL"/>
    <x v="13"/>
    <s v="2019-2020"/>
    <x v="9"/>
    <n v="13794"/>
    <n v="5317"/>
    <n v="8477"/>
    <n v="124772"/>
    <n v="273"/>
    <n v="38"/>
    <n v="64"/>
    <n v="11462"/>
    <n v="434646.30167465768"/>
    <n v="5534"/>
    <n v="14341"/>
    <n v="3353"/>
    <n v="2705"/>
    <n v="12822"/>
    <n v="5788"/>
    <n v="3037"/>
    <n v="3056"/>
    <n v="2655"/>
    <n v="13794"/>
    <n v="272811487.19999999"/>
    <n v="801"/>
    <n v="2084"/>
    <n v="12326"/>
    <n v="472"/>
    <m/>
    <m/>
    <n v="977"/>
    <n v="503"/>
    <n v="775"/>
    <m/>
    <m/>
    <m/>
    <m/>
    <m/>
    <m/>
    <m/>
    <m/>
    <m/>
    <m/>
    <m/>
    <m/>
    <m/>
    <m/>
    <m/>
    <m/>
  </r>
  <r>
    <x v="0"/>
    <n v="15"/>
    <s v="MEX"/>
    <x v="14"/>
    <s v="2019-2020"/>
    <x v="9"/>
    <n v="47114"/>
    <n v="18923"/>
    <n v="28191"/>
    <n v="280156"/>
    <n v="794"/>
    <n v="186"/>
    <n v="203"/>
    <n v="41549"/>
    <n v="917185.11715291278"/>
    <n v="19067"/>
    <n v="47926"/>
    <n v="11672"/>
    <n v="6714"/>
    <n v="42339"/>
    <n v="20110"/>
    <n v="10113"/>
    <n v="9450"/>
    <n v="7610"/>
    <n v="47114"/>
    <n v="783329252.73000002"/>
    <n v="2210"/>
    <n v="4445"/>
    <n v="7749"/>
    <n v="1012"/>
    <m/>
    <m/>
    <n v="66599"/>
    <n v="53013"/>
    <n v="1125"/>
    <m/>
    <m/>
    <m/>
    <m/>
    <m/>
    <m/>
    <m/>
    <m/>
    <m/>
    <m/>
    <m/>
    <m/>
    <m/>
    <m/>
    <m/>
    <m/>
  </r>
  <r>
    <x v="0"/>
    <n v="16"/>
    <s v="MICH"/>
    <x v="15"/>
    <s v="2019-2020"/>
    <x v="9"/>
    <n v="11091"/>
    <n v="4436"/>
    <n v="6655"/>
    <n v="64175"/>
    <n v="244"/>
    <n v="53"/>
    <n v="67"/>
    <n v="9518"/>
    <n v="254892.05728257031"/>
    <n v="5167"/>
    <n v="11087"/>
    <n v="2808"/>
    <n v="853"/>
    <n v="10005"/>
    <n v="4617"/>
    <n v="2470"/>
    <n v="2319"/>
    <n v="2085"/>
    <n v="11091"/>
    <n v="213282774.47999999"/>
    <n v="448"/>
    <n v="1204"/>
    <n v="2404"/>
    <n v="409"/>
    <m/>
    <m/>
    <n v="20137"/>
    <n v="15671"/>
    <m/>
    <m/>
    <m/>
    <m/>
    <m/>
    <m/>
    <m/>
    <m/>
    <m/>
    <m/>
    <m/>
    <m/>
    <m/>
    <m/>
    <m/>
    <m/>
    <m/>
  </r>
  <r>
    <x v="0"/>
    <n v="17"/>
    <s v="MOR"/>
    <x v="16"/>
    <s v="2019-2020"/>
    <x v="9"/>
    <n v="4522"/>
    <n v="1884"/>
    <n v="2638"/>
    <n v="30548"/>
    <n v="74"/>
    <n v="17"/>
    <n v="13"/>
    <n v="3912"/>
    <n v="101251.61672845934"/>
    <n v="2142"/>
    <n v="4640"/>
    <n v="1168"/>
    <n v="814"/>
    <n v="4002"/>
    <n v="2007"/>
    <n v="1085"/>
    <n v="1036"/>
    <n v="943"/>
    <n v="4522"/>
    <n v="72497492.840000004"/>
    <n v="237"/>
    <n v="532"/>
    <n v="943"/>
    <n v="333"/>
    <m/>
    <m/>
    <n v="1410"/>
    <n v="1116"/>
    <m/>
    <m/>
    <m/>
    <m/>
    <m/>
    <m/>
    <m/>
    <m/>
    <m/>
    <m/>
    <m/>
    <m/>
    <m/>
    <m/>
    <m/>
    <m/>
    <m/>
  </r>
  <r>
    <x v="0"/>
    <n v="18"/>
    <s v="NAY"/>
    <x v="17"/>
    <s v="2019-2020"/>
    <x v="9"/>
    <n v="2934"/>
    <n v="1353"/>
    <n v="1581"/>
    <n v="18423"/>
    <n v="59"/>
    <n v="10"/>
    <n v="14"/>
    <n v="2710"/>
    <n v="68701.514859885981"/>
    <n v="1551"/>
    <n v="2794"/>
    <n v="733"/>
    <n v="725"/>
    <n v="2483"/>
    <n v="1407"/>
    <n v="682"/>
    <n v="630"/>
    <n v="489"/>
    <n v="2934"/>
    <n v="54483944.060000002"/>
    <n v="145"/>
    <n v="361"/>
    <n v="1124"/>
    <n v="169"/>
    <m/>
    <m/>
    <n v="1132"/>
    <n v="248"/>
    <m/>
    <m/>
    <m/>
    <m/>
    <m/>
    <m/>
    <m/>
    <m/>
    <m/>
    <m/>
    <m/>
    <m/>
    <m/>
    <m/>
    <m/>
    <m/>
    <m/>
  </r>
  <r>
    <x v="0"/>
    <n v="19"/>
    <s v="NL"/>
    <x v="18"/>
    <s v="2019-2020"/>
    <x v="9"/>
    <n v="22276"/>
    <n v="8832"/>
    <n v="13444"/>
    <n v="81990"/>
    <n v="298"/>
    <n v="78"/>
    <n v="81"/>
    <n v="18601"/>
    <n v="268208.24172764656"/>
    <n v="9716"/>
    <n v="21326"/>
    <n v="5449"/>
    <n v="3224"/>
    <n v="19850"/>
    <n v="9082"/>
    <n v="5075"/>
    <n v="4378"/>
    <n v="4262"/>
    <n v="22276"/>
    <n v="249979097.05000001"/>
    <n v="1043"/>
    <n v="1549"/>
    <n v="29494"/>
    <n v="2353"/>
    <m/>
    <m/>
    <n v="101712"/>
    <n v="71574"/>
    <n v="860"/>
    <m/>
    <m/>
    <m/>
    <m/>
    <m/>
    <m/>
    <m/>
    <m/>
    <m/>
    <m/>
    <m/>
    <m/>
    <m/>
    <m/>
    <m/>
    <m/>
  </r>
  <r>
    <x v="1"/>
    <n v="20"/>
    <s v="OAX"/>
    <x v="19"/>
    <s v="2019-2020"/>
    <x v="9"/>
    <n v="6300"/>
    <n v="2674"/>
    <n v="3626"/>
    <n v="61455"/>
    <n v="121"/>
    <n v="24"/>
    <n v="31"/>
    <n v="5426"/>
    <n v="232464.04622382502"/>
    <n v="3224"/>
    <n v="6115"/>
    <n v="1582"/>
    <n v="1183"/>
    <n v="5553"/>
    <n v="2505"/>
    <n v="1392"/>
    <n v="1373"/>
    <n v="951"/>
    <n v="6300"/>
    <n v="200643047"/>
    <n v="394"/>
    <n v="637"/>
    <n v="2403"/>
    <n v="27"/>
    <m/>
    <m/>
    <n v="473"/>
    <n v="336"/>
    <m/>
    <m/>
    <m/>
    <m/>
    <m/>
    <m/>
    <m/>
    <m/>
    <m/>
    <m/>
    <m/>
    <m/>
    <m/>
    <m/>
    <m/>
    <m/>
    <m/>
  </r>
  <r>
    <x v="0"/>
    <n v="21"/>
    <s v="PUE"/>
    <x v="20"/>
    <s v="2019-2020"/>
    <x v="9"/>
    <n v="7203"/>
    <n v="2713"/>
    <n v="4490"/>
    <n v="113461"/>
    <n v="151"/>
    <n v="41"/>
    <n v="39"/>
    <n v="6179"/>
    <n v="361494.31621984352"/>
    <n v="3602"/>
    <n v="7310"/>
    <n v="1911"/>
    <n v="652"/>
    <n v="6695"/>
    <n v="2814"/>
    <n v="1740"/>
    <n v="1769"/>
    <n v="1585"/>
    <n v="7203"/>
    <n v="155689495.88"/>
    <n v="393"/>
    <n v="1005"/>
    <n v="2965"/>
    <n v="194"/>
    <m/>
    <m/>
    <n v="6068"/>
    <n v="4405"/>
    <m/>
    <m/>
    <m/>
    <m/>
    <m/>
    <m/>
    <m/>
    <m/>
    <m/>
    <m/>
    <m/>
    <m/>
    <m/>
    <m/>
    <m/>
    <m/>
    <m/>
  </r>
  <r>
    <x v="0"/>
    <n v="22"/>
    <s v="QRO"/>
    <x v="21"/>
    <s v="2019-2020"/>
    <x v="9"/>
    <n v="3388"/>
    <n v="1403"/>
    <n v="1985"/>
    <n v="33119"/>
    <n v="67"/>
    <n v="23"/>
    <n v="26"/>
    <n v="3077"/>
    <n v="113009.46007740314"/>
    <n v="2248"/>
    <n v="3473"/>
    <n v="919"/>
    <n v="754"/>
    <n v="3151"/>
    <n v="1359"/>
    <n v="854"/>
    <n v="745"/>
    <n v="721"/>
    <n v="3388"/>
    <n v="55396948.509999998"/>
    <n v="237"/>
    <n v="449"/>
    <n v="363"/>
    <n v="116"/>
    <m/>
    <m/>
    <n v="543"/>
    <n v="382"/>
    <m/>
    <m/>
    <m/>
    <m/>
    <m/>
    <m/>
    <m/>
    <m/>
    <m/>
    <m/>
    <m/>
    <m/>
    <m/>
    <m/>
    <m/>
    <m/>
    <m/>
  </r>
  <r>
    <x v="0"/>
    <n v="23"/>
    <s v="QROO"/>
    <x v="22"/>
    <s v="2019-2020"/>
    <x v="9"/>
    <n v="8115"/>
    <n v="3089"/>
    <n v="5026"/>
    <n v="24893"/>
    <n v="113"/>
    <n v="14"/>
    <n v="27"/>
    <n v="6862"/>
    <n v="86320.258386016038"/>
    <n v="3467"/>
    <n v="8590"/>
    <n v="2370"/>
    <n v="1178"/>
    <n v="7867"/>
    <n v="3453"/>
    <n v="2174"/>
    <n v="1786"/>
    <n v="1635"/>
    <n v="8115"/>
    <n v="103609822.95"/>
    <n v="391"/>
    <n v="771"/>
    <n v="1492"/>
    <n v="0"/>
    <m/>
    <m/>
    <n v="2272"/>
    <n v="1523"/>
    <m/>
    <m/>
    <m/>
    <m/>
    <m/>
    <m/>
    <m/>
    <m/>
    <m/>
    <m/>
    <m/>
    <m/>
    <m/>
    <m/>
    <m/>
    <m/>
    <m/>
  </r>
  <r>
    <x v="0"/>
    <n v="24"/>
    <s v="SLP"/>
    <x v="23"/>
    <s v="2019-2020"/>
    <x v="9"/>
    <n v="5119"/>
    <n v="1919"/>
    <n v="3200"/>
    <n v="47379"/>
    <n v="98"/>
    <n v="26"/>
    <n v="25"/>
    <n v="4235"/>
    <n v="157745.4141578234"/>
    <n v="2522"/>
    <n v="5259"/>
    <n v="1314"/>
    <n v="1016"/>
    <n v="4741"/>
    <n v="2244"/>
    <n v="1169"/>
    <n v="1163"/>
    <n v="1100"/>
    <n v="5119"/>
    <n v="90816960.060000002"/>
    <n v="240"/>
    <n v="427"/>
    <n v="5064"/>
    <n v="224"/>
    <m/>
    <m/>
    <n v="1248"/>
    <n v="942"/>
    <m/>
    <m/>
    <m/>
    <m/>
    <m/>
    <m/>
    <m/>
    <m/>
    <m/>
    <m/>
    <m/>
    <m/>
    <m/>
    <m/>
    <m/>
    <m/>
    <m/>
  </r>
  <r>
    <x v="0"/>
    <n v="25"/>
    <s v="SIN"/>
    <x v="24"/>
    <s v="2019-2020"/>
    <x v="9"/>
    <n v="8646"/>
    <n v="3156"/>
    <n v="5490"/>
    <n v="46187"/>
    <n v="235"/>
    <n v="73"/>
    <n v="40"/>
    <n v="7379"/>
    <n v="161608.217462459"/>
    <n v="3558"/>
    <n v="8604"/>
    <n v="1815"/>
    <n v="1759"/>
    <n v="7691"/>
    <n v="2997"/>
    <n v="1672"/>
    <n v="1964"/>
    <n v="1726"/>
    <n v="8646"/>
    <n v="254225446.78999999"/>
    <n v="526"/>
    <n v="1117"/>
    <n v="139"/>
    <n v="228"/>
    <m/>
    <m/>
    <n v="2"/>
    <n v="2"/>
    <m/>
    <m/>
    <m/>
    <m/>
    <m/>
    <m/>
    <m/>
    <m/>
    <m/>
    <m/>
    <m/>
    <m/>
    <m/>
    <m/>
    <m/>
    <m/>
    <m/>
  </r>
  <r>
    <x v="0"/>
    <n v="26"/>
    <s v="SON"/>
    <x v="25"/>
    <s v="2019-2020"/>
    <x v="9"/>
    <n v="14848"/>
    <n v="6159"/>
    <n v="8689"/>
    <n v="44092"/>
    <n v="265"/>
    <n v="49"/>
    <n v="44"/>
    <n v="13444"/>
    <n v="161431.28489995617"/>
    <n v="6232"/>
    <n v="14826"/>
    <n v="4071"/>
    <n v="2683"/>
    <n v="13576"/>
    <n v="7175"/>
    <n v="3583"/>
    <n v="2606"/>
    <n v="1447"/>
    <n v="14848"/>
    <n v="233759400.16"/>
    <n v="654"/>
    <n v="857"/>
    <n v="5632"/>
    <n v="595"/>
    <m/>
    <m/>
    <n v="549"/>
    <n v="404"/>
    <m/>
    <m/>
    <m/>
    <m/>
    <m/>
    <m/>
    <m/>
    <m/>
    <m/>
    <m/>
    <m/>
    <m/>
    <m/>
    <m/>
    <m/>
    <m/>
    <m/>
  </r>
  <r>
    <x v="0"/>
    <n v="27"/>
    <s v="TAB"/>
    <x v="26"/>
    <s v="2019-2020"/>
    <x v="9"/>
    <n v="5479"/>
    <n v="2129"/>
    <n v="3350"/>
    <n v="41004"/>
    <n v="89"/>
    <n v="27"/>
    <n v="24"/>
    <n v="4935"/>
    <n v="132930.79963753582"/>
    <n v="2129"/>
    <n v="5608"/>
    <n v="1555"/>
    <n v="537"/>
    <n v="5091"/>
    <n v="2109"/>
    <n v="1416"/>
    <n v="1398"/>
    <n v="1342"/>
    <n v="5479"/>
    <n v="116258748.91"/>
    <n v="291"/>
    <n v="484"/>
    <n v="251"/>
    <n v="33"/>
    <m/>
    <m/>
    <n v="512"/>
    <n v="344"/>
    <m/>
    <m/>
    <m/>
    <m/>
    <m/>
    <m/>
    <m/>
    <m/>
    <m/>
    <m/>
    <m/>
    <m/>
    <m/>
    <m/>
    <m/>
    <m/>
    <m/>
  </r>
  <r>
    <x v="0"/>
    <n v="28"/>
    <s v="TAMPS"/>
    <x v="27"/>
    <s v="2019-2020"/>
    <x v="9"/>
    <n v="7871"/>
    <n v="3065"/>
    <n v="4806"/>
    <n v="49884"/>
    <n v="164"/>
    <n v="29"/>
    <n v="42"/>
    <n v="7131"/>
    <n v="187952.82391209184"/>
    <n v="3411"/>
    <n v="8533"/>
    <n v="2290"/>
    <n v="1414"/>
    <n v="7586"/>
    <n v="3648"/>
    <n v="2099"/>
    <n v="1856"/>
    <n v="1733"/>
    <n v="7871"/>
    <n v="180294519.78999999"/>
    <n v="391"/>
    <n v="1077"/>
    <n v="5747"/>
    <n v="182"/>
    <m/>
    <m/>
    <n v="508"/>
    <n v="432"/>
    <n v="63"/>
    <m/>
    <m/>
    <m/>
    <m/>
    <m/>
    <m/>
    <m/>
    <m/>
    <m/>
    <m/>
    <m/>
    <m/>
    <m/>
    <m/>
    <m/>
    <m/>
  </r>
  <r>
    <x v="0"/>
    <n v="29"/>
    <s v="TLAX"/>
    <x v="28"/>
    <s v="2019-2020"/>
    <x v="9"/>
    <n v="3175"/>
    <n v="1171"/>
    <n v="2004"/>
    <n v="23385"/>
    <n v="49"/>
    <n v="18"/>
    <n v="15"/>
    <n v="2899"/>
    <n v="74496.422872691313"/>
    <n v="1369"/>
    <n v="3232"/>
    <n v="821"/>
    <n v="249"/>
    <n v="2983"/>
    <n v="1333"/>
    <n v="725"/>
    <n v="594"/>
    <n v="581"/>
    <n v="3175"/>
    <n v="44064909.369999997"/>
    <n v="185"/>
    <n v="455"/>
    <n v="4354"/>
    <n v="169"/>
    <m/>
    <m/>
    <n v="822"/>
    <n v="262"/>
    <m/>
    <m/>
    <m/>
    <m/>
    <m/>
    <m/>
    <m/>
    <m/>
    <m/>
    <m/>
    <m/>
    <m/>
    <m/>
    <m/>
    <m/>
    <m/>
    <m/>
  </r>
  <r>
    <x v="0"/>
    <n v="30"/>
    <s v="VER"/>
    <x v="29"/>
    <s v="2019-2020"/>
    <x v="9"/>
    <n v="9166"/>
    <n v="3739"/>
    <n v="5427"/>
    <n v="125261"/>
    <n v="172"/>
    <n v="44"/>
    <n v="74"/>
    <n v="8288"/>
    <n v="428789.89463466225"/>
    <n v="4695"/>
    <n v="8858"/>
    <n v="2596"/>
    <n v="838"/>
    <n v="8291"/>
    <n v="3448"/>
    <n v="2404"/>
    <n v="2472"/>
    <n v="2184"/>
    <n v="9166"/>
    <n v="241417343.38"/>
    <n v="534"/>
    <n v="1543"/>
    <n v="4933"/>
    <n v="194"/>
    <m/>
    <m/>
    <n v="4529"/>
    <n v="2353"/>
    <n v="599"/>
    <m/>
    <m/>
    <m/>
    <m/>
    <m/>
    <m/>
    <m/>
    <m/>
    <m/>
    <m/>
    <m/>
    <m/>
    <m/>
    <m/>
    <m/>
    <m/>
  </r>
  <r>
    <x v="0"/>
    <n v="31"/>
    <s v="YUC"/>
    <x v="30"/>
    <s v="2019-2020"/>
    <x v="9"/>
    <n v="5231"/>
    <n v="1994"/>
    <n v="3237"/>
    <n v="32464"/>
    <n v="69"/>
    <n v="14"/>
    <n v="18"/>
    <n v="4000"/>
    <n v="110127.91103826847"/>
    <n v="2389"/>
    <n v="5303"/>
    <n v="1286"/>
    <n v="1065"/>
    <n v="4745"/>
    <n v="2046"/>
    <n v="1156"/>
    <n v="1030"/>
    <n v="870"/>
    <n v="5231"/>
    <n v="112512632.04000001"/>
    <n v="269"/>
    <n v="484"/>
    <n v="2290"/>
    <n v="496"/>
    <m/>
    <m/>
    <n v="1504"/>
    <n v="1100"/>
    <m/>
    <m/>
    <m/>
    <m/>
    <m/>
    <m/>
    <m/>
    <m/>
    <m/>
    <m/>
    <m/>
    <m/>
    <m/>
    <m/>
    <m/>
    <m/>
    <m/>
  </r>
  <r>
    <x v="0"/>
    <n v="32"/>
    <s v="ZAC"/>
    <x v="31"/>
    <s v="2019-2020"/>
    <x v="9"/>
    <n v="1468"/>
    <n v="610"/>
    <n v="858"/>
    <n v="24839"/>
    <n v="60"/>
    <n v="21"/>
    <n v="7"/>
    <n v="1180"/>
    <n v="89216.325332009379"/>
    <n v="697"/>
    <n v="1538"/>
    <n v="355"/>
    <n v="506"/>
    <n v="1302"/>
    <n v="736"/>
    <n v="298"/>
    <n v="262"/>
    <n v="261"/>
    <n v="1468"/>
    <n v="43143301.719999999"/>
    <n v="85"/>
    <n v="197"/>
    <n v="1895"/>
    <n v="281"/>
    <m/>
    <m/>
    <n v="693"/>
    <n v="578"/>
    <m/>
    <m/>
    <m/>
    <m/>
    <m/>
    <m/>
    <m/>
    <m/>
    <m/>
    <m/>
    <m/>
    <m/>
    <m/>
    <m/>
    <m/>
    <m/>
    <m/>
  </r>
  <r>
    <x v="2"/>
    <n v="33"/>
    <s v="OTRO"/>
    <x v="32"/>
    <s v="2019-2020"/>
    <x v="9"/>
    <m/>
    <m/>
    <m/>
    <m/>
    <m/>
    <m/>
    <m/>
    <m/>
    <m/>
    <m/>
    <m/>
    <m/>
    <m/>
    <m/>
    <m/>
    <m/>
    <m/>
    <m/>
    <m/>
    <m/>
    <m/>
    <m/>
    <m/>
    <m/>
    <m/>
    <m/>
    <n v="1235"/>
    <n v="1166"/>
    <m/>
    <m/>
    <m/>
    <m/>
    <m/>
    <m/>
    <m/>
    <m/>
    <m/>
    <m/>
    <m/>
    <m/>
    <m/>
    <m/>
    <m/>
    <m/>
    <m/>
  </r>
  <r>
    <x v="1"/>
    <n v="0"/>
    <s v="ON"/>
    <x v="33"/>
    <s v="2019-2020"/>
    <x v="9"/>
    <m/>
    <m/>
    <m/>
    <m/>
    <m/>
    <m/>
    <m/>
    <m/>
    <m/>
    <m/>
    <m/>
    <m/>
    <m/>
    <m/>
    <m/>
    <m/>
    <m/>
    <m/>
    <m/>
    <m/>
    <m/>
    <m/>
    <n v="425"/>
    <m/>
    <m/>
    <m/>
    <n v="3719"/>
    <n v="3653"/>
    <m/>
    <n v="384815.8"/>
    <n v="1511221.007"/>
    <n v="1511221.007"/>
    <n v="1512433.503"/>
    <n v="1463719.9280000001"/>
    <n v="1463719.9280000001"/>
    <n v="1510986.557"/>
    <n v="1512199.0530000001"/>
    <n v="234.45"/>
    <n v="234.45"/>
    <n v="47501.078999999998"/>
    <n v="1511221.007"/>
    <n v="47548.292999999998"/>
    <n v="48713.574999999997"/>
    <n v="1511221.007"/>
    <n v="1512433.503"/>
  </r>
  <r>
    <x v="0"/>
    <n v="1"/>
    <s v="AGS"/>
    <x v="0"/>
    <s v="2020-2021"/>
    <x v="10"/>
    <n v="4531"/>
    <n v="1691"/>
    <n v="2840"/>
    <n v="21458"/>
    <n v="83"/>
    <n v="19"/>
    <n v="22"/>
    <n v="4236"/>
    <n v="80698"/>
    <n v="2844"/>
    <n v="4532"/>
    <n v="1200"/>
    <n v="530"/>
    <n v="4246"/>
    <n v="1771"/>
    <n v="1067"/>
    <n v="1121"/>
    <n v="1009"/>
    <n v="4531"/>
    <n v="75876699.260000005"/>
    <n v="276"/>
    <n v="429"/>
    <n v="1007"/>
    <n v="2"/>
    <m/>
    <m/>
    <n v="1050"/>
    <n v="1004"/>
    <m/>
    <m/>
    <m/>
    <m/>
    <m/>
    <m/>
    <m/>
    <m/>
    <m/>
    <m/>
    <m/>
    <m/>
    <m/>
    <m/>
    <m/>
    <m/>
    <m/>
  </r>
  <r>
    <x v="0"/>
    <n v="2"/>
    <s v="BC"/>
    <x v="1"/>
    <s v="2020-2021"/>
    <x v="10"/>
    <n v="8621"/>
    <n v="3245"/>
    <n v="5376"/>
    <n v="54940"/>
    <n v="125"/>
    <n v="32"/>
    <n v="24"/>
    <n v="7358"/>
    <n v="186875"/>
    <n v="3620"/>
    <n v="8748"/>
    <n v="1950"/>
    <n v="890"/>
    <n v="7798"/>
    <n v="3372"/>
    <n v="1630"/>
    <n v="1641"/>
    <n v="1472"/>
    <n v="8621"/>
    <n v="149280326.97999999"/>
    <n v="391"/>
    <n v="749"/>
    <n v="7335"/>
    <n v="64"/>
    <m/>
    <m/>
    <n v="2667"/>
    <n v="2590"/>
    <n v="188"/>
    <m/>
    <m/>
    <m/>
    <m/>
    <m/>
    <m/>
    <m/>
    <m/>
    <m/>
    <m/>
    <m/>
    <m/>
    <m/>
    <m/>
    <m/>
    <m/>
  </r>
  <r>
    <x v="0"/>
    <n v="3"/>
    <s v="BCS"/>
    <x v="2"/>
    <s v="2020-2021"/>
    <x v="10"/>
    <n v="1505"/>
    <n v="526"/>
    <n v="979"/>
    <n v="12017"/>
    <n v="18"/>
    <n v="5"/>
    <n v="1"/>
    <n v="1269"/>
    <n v="40181"/>
    <n v="799"/>
    <n v="1538"/>
    <n v="380"/>
    <n v="184"/>
    <n v="1433"/>
    <n v="572"/>
    <n v="326"/>
    <n v="443"/>
    <n v="431"/>
    <n v="1505"/>
    <n v="37530203.390000001"/>
    <n v="81"/>
    <n v="217"/>
    <n v="150"/>
    <n v="0"/>
    <m/>
    <m/>
    <n v="15"/>
    <n v="13"/>
    <m/>
    <m/>
    <m/>
    <m/>
    <m/>
    <m/>
    <m/>
    <m/>
    <m/>
    <m/>
    <m/>
    <m/>
    <m/>
    <m/>
    <m/>
    <m/>
    <m/>
  </r>
  <r>
    <x v="0"/>
    <n v="4"/>
    <s v="CAMP"/>
    <x v="3"/>
    <s v="2020-2021"/>
    <x v="10"/>
    <n v="1959"/>
    <n v="686"/>
    <n v="1273"/>
    <n v="12969"/>
    <n v="39"/>
    <n v="9"/>
    <n v="13"/>
    <n v="1527"/>
    <n v="50987"/>
    <n v="810"/>
    <n v="1953"/>
    <n v="439"/>
    <n v="170"/>
    <n v="1766"/>
    <n v="726"/>
    <n v="395"/>
    <n v="356"/>
    <n v="318"/>
    <n v="1959"/>
    <n v="44831293.82"/>
    <n v="118"/>
    <n v="331"/>
    <n v="888"/>
    <n v="20"/>
    <m/>
    <m/>
    <n v="160"/>
    <n v="73"/>
    <m/>
    <m/>
    <m/>
    <m/>
    <m/>
    <m/>
    <m/>
    <m/>
    <m/>
    <m/>
    <m/>
    <m/>
    <m/>
    <m/>
    <m/>
    <m/>
    <m/>
  </r>
  <r>
    <x v="0"/>
    <n v="7"/>
    <s v="CHIAP"/>
    <x v="4"/>
    <s v="2020-2021"/>
    <x v="10"/>
    <n v="7105"/>
    <n v="2994"/>
    <n v="4111"/>
    <n v="91965"/>
    <n v="160"/>
    <n v="17"/>
    <n v="51"/>
    <n v="5763"/>
    <n v="334902"/>
    <n v="3660"/>
    <n v="6623"/>
    <n v="1971"/>
    <n v="294"/>
    <n v="6189"/>
    <n v="2680"/>
    <n v="1773"/>
    <n v="1737"/>
    <n v="1414"/>
    <n v="7105"/>
    <n v="191557280.5"/>
    <n v="412"/>
    <n v="714"/>
    <n v="2376"/>
    <n v="0"/>
    <m/>
    <m/>
    <n v="227"/>
    <n v="213"/>
    <m/>
    <m/>
    <m/>
    <m/>
    <m/>
    <m/>
    <m/>
    <m/>
    <m/>
    <m/>
    <m/>
    <m/>
    <m/>
    <m/>
    <m/>
    <m/>
    <m/>
  </r>
  <r>
    <x v="0"/>
    <n v="8"/>
    <s v="CHIH"/>
    <x v="5"/>
    <s v="2020-2021"/>
    <x v="10"/>
    <n v="8628"/>
    <n v="3593"/>
    <n v="5035"/>
    <n v="56076"/>
    <n v="154"/>
    <n v="47"/>
    <n v="32"/>
    <n v="7911"/>
    <n v="203271"/>
    <n v="4424"/>
    <n v="8863"/>
    <n v="2151"/>
    <n v="1573"/>
    <n v="7792"/>
    <n v="3776"/>
    <n v="1941"/>
    <n v="1790"/>
    <n v="1694"/>
    <n v="8628"/>
    <n v="182615141.44999999"/>
    <n v="565"/>
    <n v="983"/>
    <n v="1637"/>
    <n v="66"/>
    <m/>
    <m/>
    <n v="274"/>
    <n v="251"/>
    <n v="274"/>
    <m/>
    <m/>
    <m/>
    <m/>
    <m/>
    <m/>
    <m/>
    <m/>
    <m/>
    <m/>
    <m/>
    <m/>
    <m/>
    <m/>
    <m/>
    <m/>
  </r>
  <r>
    <x v="1"/>
    <n v="9"/>
    <s v="CDMX"/>
    <x v="6"/>
    <s v="2020-2021"/>
    <x v="10"/>
    <n v="45497"/>
    <n v="18719"/>
    <n v="26778"/>
    <n v="135412"/>
    <n v="584"/>
    <n v="136"/>
    <n v="135"/>
    <n v="38885"/>
    <n v="376260"/>
    <n v="23441"/>
    <n v="43931"/>
    <n v="9786"/>
    <n v="1560"/>
    <n v="36944"/>
    <n v="18720"/>
    <n v="8086"/>
    <n v="7859"/>
    <n v="5120"/>
    <n v="45497"/>
    <n v="694736584.94207096"/>
    <n v="2197"/>
    <n v="3705"/>
    <n v="1436"/>
    <n v="2"/>
    <m/>
    <m/>
    <n v="457"/>
    <n v="409"/>
    <m/>
    <m/>
    <m/>
    <m/>
    <m/>
    <m/>
    <m/>
    <m/>
    <m/>
    <m/>
    <m/>
    <m/>
    <m/>
    <m/>
    <m/>
    <m/>
    <m/>
  </r>
  <r>
    <x v="0"/>
    <n v="5"/>
    <s v="COAH"/>
    <x v="7"/>
    <s v="2020-2021"/>
    <x v="10"/>
    <n v="10367"/>
    <n v="3971"/>
    <n v="6396"/>
    <n v="46688"/>
    <n v="134"/>
    <n v="45"/>
    <n v="37"/>
    <n v="9745"/>
    <n v="167040"/>
    <n v="4868"/>
    <n v="10427"/>
    <n v="3342"/>
    <n v="344"/>
    <n v="9837"/>
    <n v="4262"/>
    <n v="3172"/>
    <n v="2399"/>
    <n v="2397"/>
    <n v="10367"/>
    <n v="162279139.09"/>
    <n v="413"/>
    <n v="1141"/>
    <n v="758"/>
    <n v="16"/>
    <m/>
    <m/>
    <n v="252"/>
    <n v="163"/>
    <m/>
    <m/>
    <m/>
    <m/>
    <m/>
    <m/>
    <m/>
    <m/>
    <m/>
    <m/>
    <m/>
    <m/>
    <m/>
    <m/>
    <m/>
    <m/>
    <m/>
  </r>
  <r>
    <x v="0"/>
    <n v="6"/>
    <s v="COL"/>
    <x v="8"/>
    <s v="2020-2021"/>
    <x v="10"/>
    <n v="1849"/>
    <n v="715"/>
    <n v="1134"/>
    <n v="10330"/>
    <n v="47"/>
    <n v="6"/>
    <n v="11"/>
    <n v="1231"/>
    <n v="39611"/>
    <n v="811"/>
    <n v="1934"/>
    <n v="415"/>
    <n v="418"/>
    <n v="1702"/>
    <n v="701"/>
    <n v="349"/>
    <n v="349"/>
    <n v="324"/>
    <n v="1849"/>
    <n v="45312761.270000003"/>
    <n v="112"/>
    <n v="320"/>
    <n v="211"/>
    <n v="0"/>
    <m/>
    <m/>
    <n v="29"/>
    <n v="23"/>
    <m/>
    <m/>
    <m/>
    <m/>
    <m/>
    <m/>
    <m/>
    <m/>
    <m/>
    <m/>
    <m/>
    <m/>
    <m/>
    <m/>
    <m/>
    <m/>
    <m/>
  </r>
  <r>
    <x v="0"/>
    <n v="10"/>
    <s v="DGO"/>
    <x v="9"/>
    <s v="2020-2021"/>
    <x v="10"/>
    <n v="1601"/>
    <n v="610"/>
    <n v="991"/>
    <n v="27739"/>
    <n v="51"/>
    <n v="19"/>
    <n v="10"/>
    <n v="1377"/>
    <n v="102696"/>
    <n v="664"/>
    <n v="1888"/>
    <n v="455"/>
    <n v="322"/>
    <n v="1606"/>
    <n v="935"/>
    <n v="401"/>
    <n v="325"/>
    <n v="202"/>
    <n v="1601"/>
    <n v="44478262.770000003"/>
    <n v="156"/>
    <n v="260"/>
    <n v="953"/>
    <n v="0"/>
    <m/>
    <m/>
    <n v="269"/>
    <n v="215"/>
    <m/>
    <m/>
    <m/>
    <m/>
    <m/>
    <m/>
    <m/>
    <m/>
    <m/>
    <m/>
    <m/>
    <m/>
    <m/>
    <m/>
    <m/>
    <m/>
    <m/>
  </r>
  <r>
    <x v="0"/>
    <n v="11"/>
    <s v="GTO"/>
    <x v="10"/>
    <s v="2020-2021"/>
    <x v="10"/>
    <n v="17465"/>
    <n v="6564"/>
    <n v="10901"/>
    <n v="98268"/>
    <n v="308"/>
    <n v="90"/>
    <n v="82"/>
    <n v="16095"/>
    <n v="340307"/>
    <n v="7885"/>
    <n v="18159"/>
    <n v="5451"/>
    <n v="304"/>
    <n v="16992"/>
    <n v="7538"/>
    <n v="5149"/>
    <n v="4547"/>
    <n v="4297"/>
    <n v="17465"/>
    <n v="280644554.99000001"/>
    <n v="842"/>
    <n v="2187"/>
    <n v="3416"/>
    <n v="48"/>
    <m/>
    <m/>
    <n v="184"/>
    <n v="169"/>
    <n v="4101"/>
    <m/>
    <m/>
    <m/>
    <m/>
    <m/>
    <m/>
    <m/>
    <m/>
    <m/>
    <m/>
    <m/>
    <m/>
    <m/>
    <m/>
    <m/>
    <m/>
  </r>
  <r>
    <x v="0"/>
    <n v="12"/>
    <s v="GRO"/>
    <x v="11"/>
    <s v="2020-2021"/>
    <x v="10"/>
    <n v="5983"/>
    <n v="2235"/>
    <n v="3748"/>
    <n v="61057"/>
    <n v="134"/>
    <n v="26"/>
    <n v="41"/>
    <n v="5253"/>
    <n v="210110"/>
    <n v="2831"/>
    <n v="6068"/>
    <n v="1536"/>
    <n v="1218"/>
    <n v="5580"/>
    <n v="2421"/>
    <n v="1392"/>
    <n v="1372"/>
    <n v="1088"/>
    <n v="5983"/>
    <n v="155449233.13"/>
    <n v="294"/>
    <n v="719"/>
    <n v="10990"/>
    <n v="78"/>
    <m/>
    <m/>
    <n v="232"/>
    <n v="228"/>
    <m/>
    <m/>
    <m/>
    <m/>
    <m/>
    <m/>
    <m/>
    <m/>
    <m/>
    <m/>
    <m/>
    <m/>
    <m/>
    <m/>
    <m/>
    <m/>
    <m/>
  </r>
  <r>
    <x v="0"/>
    <n v="13"/>
    <s v="HGO"/>
    <x v="12"/>
    <s v="2020-2021"/>
    <x v="10"/>
    <n v="3744"/>
    <n v="1506"/>
    <n v="2238"/>
    <n v="53818"/>
    <n v="72"/>
    <n v="37"/>
    <n v="17"/>
    <n v="3372"/>
    <n v="164914"/>
    <n v="1977"/>
    <n v="3685"/>
    <n v="993"/>
    <n v="63"/>
    <n v="3294"/>
    <n v="1434"/>
    <n v="864"/>
    <n v="819"/>
    <n v="805"/>
    <n v="3744"/>
    <n v="69386541.359999999"/>
    <n v="200"/>
    <n v="428"/>
    <n v="188"/>
    <n v="0"/>
    <m/>
    <m/>
    <n v="98"/>
    <n v="69"/>
    <m/>
    <m/>
    <m/>
    <m/>
    <m/>
    <m/>
    <m/>
    <m/>
    <m/>
    <m/>
    <m/>
    <m/>
    <m/>
    <m/>
    <m/>
    <m/>
    <m/>
  </r>
  <r>
    <x v="0"/>
    <n v="14"/>
    <s v="JAL"/>
    <x v="13"/>
    <s v="2020-2021"/>
    <x v="10"/>
    <n v="13609"/>
    <n v="5237"/>
    <n v="8372"/>
    <n v="124747"/>
    <n v="273"/>
    <n v="38"/>
    <n v="64"/>
    <n v="11518"/>
    <n v="445737"/>
    <n v="5334"/>
    <n v="13794"/>
    <n v="3657"/>
    <n v="1951"/>
    <n v="12643"/>
    <n v="5950"/>
    <n v="3267"/>
    <n v="3037"/>
    <n v="2546"/>
    <n v="13609"/>
    <n v="284931568.99000001"/>
    <n v="784"/>
    <n v="2084"/>
    <n v="5734"/>
    <n v="99"/>
    <m/>
    <m/>
    <n v="296"/>
    <n v="187"/>
    <n v="802"/>
    <m/>
    <m/>
    <m/>
    <m/>
    <m/>
    <m/>
    <m/>
    <m/>
    <m/>
    <m/>
    <m/>
    <m/>
    <m/>
    <m/>
    <m/>
    <m/>
  </r>
  <r>
    <x v="0"/>
    <n v="15"/>
    <s v="MEX"/>
    <x v="14"/>
    <s v="2020-2021"/>
    <x v="10"/>
    <n v="47010"/>
    <n v="18736"/>
    <n v="28274"/>
    <n v="276491"/>
    <n v="794"/>
    <n v="186"/>
    <n v="203"/>
    <n v="42594"/>
    <n v="889721"/>
    <n v="18749"/>
    <n v="47114"/>
    <n v="11459"/>
    <n v="4493"/>
    <n v="42681"/>
    <n v="18859"/>
    <n v="9977"/>
    <n v="10113"/>
    <n v="7757"/>
    <n v="47010"/>
    <n v="820472812.96000004"/>
    <n v="2152"/>
    <n v="4445"/>
    <n v="3921"/>
    <n v="66"/>
    <m/>
    <m/>
    <n v="27394"/>
    <n v="18550"/>
    <n v="969"/>
    <m/>
    <m/>
    <m/>
    <m/>
    <m/>
    <m/>
    <m/>
    <m/>
    <m/>
    <m/>
    <m/>
    <m/>
    <m/>
    <m/>
    <m/>
    <m/>
  </r>
  <r>
    <x v="0"/>
    <n v="16"/>
    <s v="MICH"/>
    <x v="15"/>
    <s v="2020-2021"/>
    <x v="10"/>
    <n v="11062"/>
    <n v="4264"/>
    <n v="6798"/>
    <n v="62719"/>
    <n v="244"/>
    <n v="53"/>
    <n v="67"/>
    <n v="9706"/>
    <n v="259833"/>
    <n v="4793"/>
    <n v="11091"/>
    <n v="2982"/>
    <n v="473"/>
    <n v="10145"/>
    <n v="4573"/>
    <n v="2596"/>
    <n v="2470"/>
    <n v="2182"/>
    <n v="11062"/>
    <n v="222481710.09999999"/>
    <n v="450"/>
    <n v="1204"/>
    <n v="691"/>
    <n v="17"/>
    <m/>
    <m/>
    <n v="11171"/>
    <n v="10045"/>
    <m/>
    <m/>
    <m/>
    <m/>
    <m/>
    <m/>
    <m/>
    <m/>
    <m/>
    <m/>
    <m/>
    <m/>
    <m/>
    <m/>
    <m/>
    <m/>
    <m/>
  </r>
  <r>
    <x v="0"/>
    <n v="17"/>
    <s v="MOR"/>
    <x v="16"/>
    <s v="2020-2021"/>
    <x v="10"/>
    <n v="4340"/>
    <n v="1822"/>
    <n v="2518"/>
    <n v="29866"/>
    <n v="74"/>
    <n v="17"/>
    <n v="13"/>
    <n v="3851"/>
    <n v="102991"/>
    <n v="2117"/>
    <n v="4522"/>
    <n v="1065"/>
    <n v="929"/>
    <n v="3866"/>
    <n v="1947"/>
    <n v="981"/>
    <n v="1085"/>
    <n v="901"/>
    <n v="4340"/>
    <n v="76088741.829999998"/>
    <n v="240"/>
    <n v="532"/>
    <n v="1370"/>
    <n v="40"/>
    <m/>
    <m/>
    <n v="1665"/>
    <n v="1663"/>
    <m/>
    <m/>
    <m/>
    <m/>
    <m/>
    <m/>
    <m/>
    <m/>
    <m/>
    <m/>
    <m/>
    <m/>
    <m/>
    <m/>
    <m/>
    <m/>
    <m/>
  </r>
  <r>
    <x v="0"/>
    <n v="18"/>
    <s v="NAY"/>
    <x v="17"/>
    <s v="2020-2021"/>
    <x v="10"/>
    <n v="2894"/>
    <n v="1236"/>
    <n v="1658"/>
    <n v="18968"/>
    <n v="59"/>
    <n v="10"/>
    <n v="14"/>
    <n v="2760"/>
    <n v="67902"/>
    <n v="1395"/>
    <n v="2934"/>
    <n v="632"/>
    <n v="551"/>
    <n v="2463"/>
    <n v="1127"/>
    <n v="568"/>
    <n v="682"/>
    <n v="498"/>
    <n v="2894"/>
    <n v="57023324.170000002"/>
    <n v="145"/>
    <n v="361"/>
    <n v="1824"/>
    <n v="22"/>
    <m/>
    <m/>
    <n v="53"/>
    <n v="49"/>
    <m/>
    <m/>
    <m/>
    <m/>
    <m/>
    <m/>
    <m/>
    <m/>
    <m/>
    <m/>
    <m/>
    <m/>
    <m/>
    <m/>
    <m/>
    <m/>
    <m/>
  </r>
  <r>
    <x v="0"/>
    <n v="19"/>
    <s v="NL"/>
    <x v="18"/>
    <s v="2020-2021"/>
    <x v="10"/>
    <n v="21963"/>
    <n v="7558"/>
    <n v="14405"/>
    <n v="83533"/>
    <n v="298"/>
    <n v="78"/>
    <n v="81"/>
    <n v="18651"/>
    <n v="282970"/>
    <n v="8961"/>
    <n v="22276"/>
    <n v="6434"/>
    <n v="1207"/>
    <n v="21094"/>
    <n v="8908"/>
    <n v="5889"/>
    <n v="5075"/>
    <n v="4853"/>
    <n v="21963"/>
    <n v="260039074.38"/>
    <n v="1039"/>
    <n v="1549"/>
    <n v="21320"/>
    <n v="183"/>
    <m/>
    <m/>
    <n v="61758"/>
    <n v="46714"/>
    <n v="245"/>
    <m/>
    <m/>
    <m/>
    <m/>
    <m/>
    <m/>
    <m/>
    <m/>
    <m/>
    <m/>
    <m/>
    <m/>
    <m/>
    <m/>
    <m/>
    <m/>
  </r>
  <r>
    <x v="1"/>
    <n v="20"/>
    <s v="OAX"/>
    <x v="19"/>
    <s v="2020-2021"/>
    <x v="10"/>
    <n v="6354"/>
    <n v="2533"/>
    <n v="3821"/>
    <n v="67215"/>
    <n v="121"/>
    <n v="24"/>
    <n v="31"/>
    <n v="5546"/>
    <n v="229703"/>
    <n v="3073"/>
    <n v="6300"/>
    <n v="1372"/>
    <n v="1103"/>
    <n v="5608"/>
    <n v="2314"/>
    <n v="1223"/>
    <n v="1392"/>
    <n v="923"/>
    <n v="6354"/>
    <n v="199418530.940263"/>
    <n v="391"/>
    <n v="637"/>
    <n v="811"/>
    <n v="0"/>
    <m/>
    <m/>
    <n v="213"/>
    <n v="152"/>
    <m/>
    <m/>
    <m/>
    <m/>
    <m/>
    <m/>
    <m/>
    <m/>
    <m/>
    <m/>
    <m/>
    <m/>
    <m/>
    <m/>
    <m/>
    <m/>
    <m/>
  </r>
  <r>
    <x v="0"/>
    <n v="21"/>
    <s v="PUE"/>
    <x v="20"/>
    <s v="2020-2021"/>
    <x v="10"/>
    <n v="7329"/>
    <n v="2792"/>
    <n v="4537"/>
    <n v="108636"/>
    <n v="151"/>
    <n v="41"/>
    <n v="39"/>
    <n v="6511"/>
    <n v="368133"/>
    <n v="3656"/>
    <n v="7203"/>
    <n v="2133"/>
    <n v="11"/>
    <n v="6789"/>
    <n v="2917"/>
    <n v="1948"/>
    <n v="1740"/>
    <n v="1485"/>
    <n v="7329"/>
    <n v="163232003.55000001"/>
    <n v="398"/>
    <n v="1005"/>
    <n v="1560"/>
    <n v="56"/>
    <m/>
    <m/>
    <n v="245"/>
    <n v="184"/>
    <m/>
    <m/>
    <m/>
    <m/>
    <m/>
    <m/>
    <m/>
    <m/>
    <m/>
    <m/>
    <m/>
    <m/>
    <m/>
    <m/>
    <m/>
    <m/>
    <m/>
  </r>
  <r>
    <x v="0"/>
    <n v="22"/>
    <s v="QRO"/>
    <x v="21"/>
    <s v="2020-2021"/>
    <x v="10"/>
    <n v="3502"/>
    <n v="1525"/>
    <n v="1977"/>
    <n v="34990"/>
    <n v="67"/>
    <n v="23"/>
    <n v="26"/>
    <n v="3248"/>
    <n v="120150"/>
    <n v="2230"/>
    <n v="3388"/>
    <n v="943"/>
    <n v="701"/>
    <n v="3174"/>
    <n v="1463"/>
    <n v="883"/>
    <n v="854"/>
    <n v="819"/>
    <n v="3502"/>
    <n v="57877589.619999997"/>
    <n v="248"/>
    <n v="449"/>
    <n v="158"/>
    <n v="0"/>
    <m/>
    <m/>
    <n v="98"/>
    <n v="81"/>
    <m/>
    <m/>
    <m/>
    <m/>
    <m/>
    <m/>
    <m/>
    <m/>
    <m/>
    <m/>
    <m/>
    <m/>
    <m/>
    <m/>
    <m/>
    <m/>
    <m/>
  </r>
  <r>
    <x v="0"/>
    <n v="23"/>
    <s v="QROO"/>
    <x v="22"/>
    <s v="2020-2021"/>
    <x v="10"/>
    <n v="8623"/>
    <n v="3575"/>
    <n v="5048"/>
    <n v="25317"/>
    <n v="113"/>
    <n v="14"/>
    <n v="27"/>
    <n v="7755"/>
    <n v="88878"/>
    <n v="3842"/>
    <n v="8115"/>
    <n v="2421"/>
    <n v="530"/>
    <n v="7504"/>
    <n v="3406"/>
    <n v="2199"/>
    <n v="2174"/>
    <n v="1920"/>
    <n v="8623"/>
    <n v="108560603.91"/>
    <n v="391"/>
    <n v="771"/>
    <n v="6744"/>
    <n v="0"/>
    <m/>
    <m/>
    <n v="52"/>
    <n v="49"/>
    <m/>
    <m/>
    <m/>
    <m/>
    <m/>
    <m/>
    <m/>
    <m/>
    <m/>
    <m/>
    <m/>
    <m/>
    <m/>
    <m/>
    <m/>
    <m/>
    <m/>
  </r>
  <r>
    <x v="0"/>
    <n v="24"/>
    <s v="SLP"/>
    <x v="23"/>
    <s v="2020-2021"/>
    <x v="10"/>
    <n v="4774"/>
    <n v="1833"/>
    <n v="2941"/>
    <n v="46698"/>
    <n v="98"/>
    <n v="26"/>
    <n v="25"/>
    <n v="4265"/>
    <n v="156723"/>
    <n v="2310"/>
    <n v="5119"/>
    <n v="1606"/>
    <n v="461"/>
    <n v="4681"/>
    <n v="2322"/>
    <n v="1483"/>
    <n v="1169"/>
    <n v="1117"/>
    <n v="4774"/>
    <n v="95011144.870000005"/>
    <n v="241"/>
    <n v="427"/>
    <n v="899"/>
    <n v="165"/>
    <m/>
    <m/>
    <n v="182"/>
    <n v="159"/>
    <m/>
    <m/>
    <m/>
    <m/>
    <m/>
    <m/>
    <m/>
    <m/>
    <m/>
    <m/>
    <m/>
    <m/>
    <m/>
    <m/>
    <m/>
    <m/>
    <m/>
  </r>
  <r>
    <x v="0"/>
    <n v="25"/>
    <s v="SIN"/>
    <x v="24"/>
    <s v="2020-2021"/>
    <x v="10"/>
    <n v="8184"/>
    <n v="2896"/>
    <n v="5288"/>
    <n v="46379"/>
    <n v="235"/>
    <n v="73"/>
    <n v="40"/>
    <n v="7363"/>
    <n v="166153"/>
    <n v="3197"/>
    <n v="8646"/>
    <n v="2655"/>
    <n v="403"/>
    <n v="7950"/>
    <n v="3909"/>
    <n v="2478"/>
    <n v="1672"/>
    <n v="1611"/>
    <n v="8184"/>
    <n v="264967002.69"/>
    <n v="504"/>
    <n v="1117"/>
    <n v="0"/>
    <n v="160"/>
    <m/>
    <m/>
    <n v="2"/>
    <n v="0"/>
    <m/>
    <m/>
    <m/>
    <m/>
    <m/>
    <m/>
    <m/>
    <m/>
    <m/>
    <m/>
    <m/>
    <m/>
    <m/>
    <m/>
    <m/>
    <m/>
    <m/>
  </r>
  <r>
    <x v="0"/>
    <n v="26"/>
    <s v="SON"/>
    <x v="25"/>
    <s v="2020-2021"/>
    <x v="10"/>
    <n v="15455"/>
    <n v="5692"/>
    <n v="9763"/>
    <n v="45388"/>
    <n v="265"/>
    <n v="49"/>
    <n v="44"/>
    <n v="14103"/>
    <n v="160495"/>
    <n v="5735"/>
    <n v="14848"/>
    <n v="3608"/>
    <n v="1532"/>
    <n v="13843"/>
    <n v="6180"/>
    <n v="3099"/>
    <n v="3583"/>
    <n v="1835"/>
    <n v="15455"/>
    <n v="245008136.47"/>
    <n v="551"/>
    <n v="857"/>
    <n v="821"/>
    <n v="81"/>
    <m/>
    <m/>
    <n v="106"/>
    <n v="96"/>
    <m/>
    <m/>
    <m/>
    <m/>
    <m/>
    <m/>
    <m/>
    <m/>
    <m/>
    <m/>
    <m/>
    <m/>
    <m/>
    <m/>
    <m/>
    <m/>
    <m/>
  </r>
  <r>
    <x v="0"/>
    <n v="27"/>
    <s v="TAB"/>
    <x v="26"/>
    <s v="2020-2021"/>
    <x v="10"/>
    <n v="5252"/>
    <n v="1927"/>
    <n v="3325"/>
    <n v="42269"/>
    <n v="89"/>
    <n v="27"/>
    <n v="24"/>
    <n v="4834"/>
    <n v="134346"/>
    <n v="1948"/>
    <n v="5479"/>
    <n v="1586"/>
    <n v="236"/>
    <n v="5018"/>
    <n v="2206"/>
    <n v="1487"/>
    <n v="1416"/>
    <n v="1407"/>
    <n v="5252"/>
    <n v="122044697.15000001"/>
    <n v="299"/>
    <n v="484"/>
    <n v="0"/>
    <n v="4"/>
    <m/>
    <m/>
    <n v="105"/>
    <n v="95"/>
    <m/>
    <m/>
    <m/>
    <m/>
    <m/>
    <m/>
    <m/>
    <m/>
    <m/>
    <m/>
    <m/>
    <m/>
    <m/>
    <m/>
    <m/>
    <m/>
    <m/>
  </r>
  <r>
    <x v="0"/>
    <n v="28"/>
    <s v="TAMPS"/>
    <x v="27"/>
    <s v="2020-2021"/>
    <x v="10"/>
    <n v="7597"/>
    <n v="2799"/>
    <n v="4798"/>
    <n v="51260"/>
    <n v="164"/>
    <n v="29"/>
    <n v="42"/>
    <n v="7050"/>
    <n v="188314"/>
    <n v="3188"/>
    <n v="7871"/>
    <n v="2123"/>
    <n v="357"/>
    <n v="7226"/>
    <n v="3276"/>
    <n v="1904"/>
    <n v="2099"/>
    <n v="1950"/>
    <n v="7597"/>
    <n v="188817486.56"/>
    <n v="387"/>
    <n v="1077"/>
    <n v="1987"/>
    <n v="0"/>
    <m/>
    <m/>
    <n v="63"/>
    <n v="61"/>
    <n v="23"/>
    <m/>
    <m/>
    <m/>
    <m/>
    <m/>
    <m/>
    <m/>
    <m/>
    <m/>
    <m/>
    <m/>
    <m/>
    <m/>
    <m/>
    <m/>
    <m/>
  </r>
  <r>
    <x v="0"/>
    <n v="29"/>
    <s v="TLAX"/>
    <x v="28"/>
    <s v="2020-2021"/>
    <x v="10"/>
    <n v="3179"/>
    <n v="1246"/>
    <n v="1933"/>
    <n v="22723"/>
    <n v="49"/>
    <n v="18"/>
    <n v="15"/>
    <n v="3012"/>
    <n v="74898"/>
    <n v="1386"/>
    <n v="3175"/>
    <n v="972"/>
    <n v="62"/>
    <n v="2954"/>
    <n v="1320"/>
    <n v="855"/>
    <n v="725"/>
    <n v="710"/>
    <n v="3179"/>
    <n v="46228771.119999997"/>
    <n v="179"/>
    <n v="455"/>
    <n v="0"/>
    <n v="0"/>
    <m/>
    <m/>
    <n v="21"/>
    <n v="8"/>
    <m/>
    <m/>
    <m/>
    <m/>
    <m/>
    <m/>
    <m/>
    <m/>
    <m/>
    <m/>
    <m/>
    <m/>
    <m/>
    <m/>
    <m/>
    <m/>
    <m/>
  </r>
  <r>
    <x v="0"/>
    <n v="30"/>
    <s v="VER"/>
    <x v="29"/>
    <s v="2020-2021"/>
    <x v="10"/>
    <n v="10340"/>
    <n v="4253"/>
    <n v="6087"/>
    <n v="121060"/>
    <n v="172"/>
    <n v="44"/>
    <n v="74"/>
    <n v="9581"/>
    <n v="434128"/>
    <n v="5088"/>
    <n v="9166"/>
    <n v="2494"/>
    <n v="191"/>
    <n v="8718"/>
    <n v="3208"/>
    <n v="2333"/>
    <n v="2404"/>
    <n v="2154"/>
    <n v="10340"/>
    <n v="252621869.19"/>
    <n v="549"/>
    <n v="1543"/>
    <n v="2283"/>
    <n v="0"/>
    <m/>
    <m/>
    <n v="1270"/>
    <n v="822"/>
    <n v="236"/>
    <m/>
    <m/>
    <m/>
    <m/>
    <m/>
    <m/>
    <m/>
    <m/>
    <m/>
    <m/>
    <m/>
    <m/>
    <m/>
    <m/>
    <m/>
    <m/>
  </r>
  <r>
    <x v="0"/>
    <n v="31"/>
    <s v="YUC"/>
    <x v="30"/>
    <s v="2020-2021"/>
    <x v="10"/>
    <n v="5397"/>
    <n v="2130"/>
    <n v="3267"/>
    <n v="32246"/>
    <n v="69"/>
    <n v="14"/>
    <n v="18"/>
    <n v="4470"/>
    <n v="114933"/>
    <n v="2185"/>
    <n v="5231"/>
    <n v="1360"/>
    <n v="674"/>
    <n v="4886"/>
    <n v="2052"/>
    <n v="1234"/>
    <n v="1156"/>
    <n v="926"/>
    <n v="5397"/>
    <n v="117391833.86"/>
    <n v="271"/>
    <n v="484"/>
    <n v="1610"/>
    <n v="0"/>
    <m/>
    <m/>
    <n v="848"/>
    <n v="842"/>
    <m/>
    <m/>
    <m/>
    <m/>
    <m/>
    <m/>
    <m/>
    <m/>
    <m/>
    <m/>
    <m/>
    <m/>
    <m/>
    <m/>
    <m/>
    <m/>
    <m/>
  </r>
  <r>
    <x v="0"/>
    <n v="32"/>
    <s v="ZAC"/>
    <x v="31"/>
    <s v="2020-2021"/>
    <x v="10"/>
    <n v="1312"/>
    <n v="596"/>
    <n v="716"/>
    <n v="25485"/>
    <n v="60"/>
    <n v="21"/>
    <n v="7"/>
    <n v="1059"/>
    <n v="90644"/>
    <n v="745"/>
    <n v="1468"/>
    <n v="346"/>
    <n v="510"/>
    <n v="1228"/>
    <n v="675"/>
    <n v="290"/>
    <n v="298"/>
    <n v="291"/>
    <n v="1312"/>
    <n v="45053233.439999998"/>
    <n v="85"/>
    <n v="197"/>
    <n v="329"/>
    <n v="89"/>
    <m/>
    <m/>
    <n v="24"/>
    <n v="23"/>
    <m/>
    <m/>
    <m/>
    <m/>
    <m/>
    <m/>
    <m/>
    <m/>
    <m/>
    <m/>
    <m/>
    <m/>
    <m/>
    <m/>
    <m/>
    <m/>
    <m/>
  </r>
  <r>
    <x v="2"/>
    <n v="33"/>
    <s v="OTRO"/>
    <x v="32"/>
    <s v="2020-2021"/>
    <x v="10"/>
    <m/>
    <m/>
    <m/>
    <m/>
    <m/>
    <m/>
    <m/>
    <m/>
    <m/>
    <m/>
    <m/>
    <m/>
    <m/>
    <m/>
    <m/>
    <m/>
    <m/>
    <m/>
    <m/>
    <m/>
    <m/>
    <m/>
    <m/>
    <m/>
    <m/>
    <m/>
    <n v="534"/>
    <n v="533"/>
    <m/>
    <m/>
    <m/>
    <m/>
    <m/>
    <m/>
    <m/>
    <m/>
    <m/>
    <m/>
    <m/>
    <m/>
    <m/>
    <m/>
    <m/>
    <m/>
    <m/>
  </r>
  <r>
    <x v="1"/>
    <n v="0"/>
    <s v="ON"/>
    <x v="33"/>
    <s v="2020-2021"/>
    <x v="10"/>
    <m/>
    <m/>
    <m/>
    <m/>
    <m/>
    <m/>
    <m/>
    <m/>
    <m/>
    <m/>
    <m/>
    <m/>
    <m/>
    <m/>
    <m/>
    <m/>
    <m/>
    <m/>
    <m/>
    <m/>
    <m/>
    <m/>
    <n v="1136"/>
    <m/>
    <m/>
    <m/>
    <n v="2848"/>
    <n v="2845"/>
    <m/>
    <n v="399892.79996442498"/>
    <n v="1422248.821"/>
    <n v="1422248.821"/>
    <n v="1457643.3670000001"/>
    <n v="1388683.6850000001"/>
    <n v="1388683.6850000001"/>
    <n v="1422248.821"/>
    <n v="1457643.3670000001"/>
    <n v="0"/>
    <n v="0"/>
    <n v="33565.135999999999"/>
    <n v="1422248.821"/>
    <n v="33390.084999999999"/>
    <n v="40000"/>
    <n v="1422248.821"/>
    <n v="1457643.367000000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0">
  <r>
    <x v="0"/>
    <n v="1"/>
    <s v="AGS"/>
    <x v="0"/>
    <s v="2022-2023"/>
    <x v="0"/>
    <n v="4434"/>
    <n v="1697"/>
    <n v="2737"/>
    <n v="23894"/>
    <n v="83"/>
    <n v="19"/>
    <n v="22"/>
    <n v="4097"/>
    <n v="80762"/>
    <n v="2991"/>
    <n v="4237"/>
    <n v="1017"/>
    <n v="646"/>
    <n v="3919"/>
    <n v="1624"/>
    <n v="908"/>
    <n v="1037"/>
    <n v="993"/>
    <n v="4434"/>
    <n v="82143029.864428163"/>
    <n v="268"/>
    <n v="429"/>
    <n v="2800"/>
    <n v="181"/>
    <n v="45"/>
    <n v="74"/>
    <n v="3415"/>
    <n v="2391"/>
    <m/>
    <m/>
    <m/>
    <m/>
    <m/>
    <m/>
    <m/>
    <m/>
    <m/>
    <m/>
    <m/>
    <m/>
    <m/>
    <m/>
    <m/>
    <m/>
    <m/>
  </r>
  <r>
    <x v="0"/>
    <n v="2"/>
    <s v="BC"/>
    <x v="1"/>
    <s v="2022-2023"/>
    <x v="0"/>
    <n v="9226"/>
    <n v="3945"/>
    <n v="5281"/>
    <n v="59849"/>
    <n v="125"/>
    <n v="32"/>
    <n v="24"/>
    <n v="8222"/>
    <n v="187217"/>
    <n v="4385"/>
    <n v="8841"/>
    <n v="1922"/>
    <n v="2154"/>
    <n v="8272"/>
    <n v="3476"/>
    <n v="1802"/>
    <n v="1597"/>
    <n v="1497"/>
    <n v="9226"/>
    <n v="164707369.69522417"/>
    <n v="399"/>
    <n v="749"/>
    <n v="4491"/>
    <n v="59"/>
    <n v="78"/>
    <n v="161"/>
    <n v="1833"/>
    <n v="1678"/>
    <n v="198"/>
    <m/>
    <m/>
    <m/>
    <m/>
    <m/>
    <m/>
    <m/>
    <m/>
    <m/>
    <m/>
    <m/>
    <m/>
    <m/>
    <m/>
    <m/>
    <m/>
  </r>
  <r>
    <x v="0"/>
    <n v="3"/>
    <s v="BCS"/>
    <x v="2"/>
    <s v="2022-2023"/>
    <x v="0"/>
    <n v="1676"/>
    <n v="715"/>
    <n v="961"/>
    <n v="12983"/>
    <n v="33"/>
    <n v="8"/>
    <n v="3"/>
    <n v="1427"/>
    <n v="40787"/>
    <n v="1058"/>
    <n v="1531"/>
    <n v="346"/>
    <n v="182"/>
    <n v="1335"/>
    <n v="602"/>
    <n v="313"/>
    <n v="368"/>
    <n v="361"/>
    <n v="1676"/>
    <n v="40780472.799643666"/>
    <n v="77"/>
    <n v="217"/>
    <n v="640"/>
    <n v="25"/>
    <n v="0"/>
    <n v="1"/>
    <n v="0"/>
    <n v="0"/>
    <m/>
    <m/>
    <m/>
    <m/>
    <m/>
    <m/>
    <m/>
    <m/>
    <m/>
    <m/>
    <m/>
    <m/>
    <m/>
    <m/>
    <m/>
    <m/>
    <m/>
  </r>
  <r>
    <x v="0"/>
    <n v="4"/>
    <s v="CAMP"/>
    <x v="3"/>
    <s v="2022-2023"/>
    <x v="0"/>
    <n v="2131"/>
    <n v="861"/>
    <n v="1270"/>
    <n v="13930"/>
    <n v="39"/>
    <n v="9"/>
    <n v="13"/>
    <n v="1774"/>
    <n v="51602"/>
    <n v="975"/>
    <n v="1937"/>
    <n v="418"/>
    <n v="257"/>
    <n v="1656"/>
    <n v="758"/>
    <n v="370"/>
    <n v="423"/>
    <n v="368"/>
    <n v="2131"/>
    <n v="50105240.945243418"/>
    <n v="119"/>
    <n v="331"/>
    <n v="1533"/>
    <n v="59"/>
    <n v="30"/>
    <n v="31"/>
    <n v="300"/>
    <n v="259"/>
    <m/>
    <m/>
    <m/>
    <m/>
    <m/>
    <m/>
    <m/>
    <m/>
    <m/>
    <m/>
    <m/>
    <m/>
    <m/>
    <m/>
    <m/>
    <m/>
    <m/>
  </r>
  <r>
    <x v="0"/>
    <n v="7"/>
    <s v="CHIAP"/>
    <x v="4"/>
    <s v="2022-2023"/>
    <x v="0"/>
    <n v="8653"/>
    <n v="3390"/>
    <n v="5263"/>
    <n v="94001"/>
    <n v="160"/>
    <n v="17"/>
    <n v="51"/>
    <n v="6118"/>
    <n v="340519"/>
    <n v="4174"/>
    <n v="8499"/>
    <n v="1714"/>
    <n v="1017"/>
    <n v="7471"/>
    <n v="2428"/>
    <n v="1553"/>
    <n v="1584"/>
    <n v="1273"/>
    <n v="8653"/>
    <n v="198707456.26515517"/>
    <n v="427"/>
    <n v="714"/>
    <n v="3479"/>
    <n v="4"/>
    <n v="56"/>
    <n v="72"/>
    <n v="961"/>
    <n v="758"/>
    <m/>
    <m/>
    <m/>
    <m/>
    <m/>
    <m/>
    <m/>
    <m/>
    <m/>
    <m/>
    <m/>
    <m/>
    <m/>
    <m/>
    <m/>
    <m/>
    <m/>
  </r>
  <r>
    <x v="0"/>
    <n v="8"/>
    <s v="CHIH"/>
    <x v="5"/>
    <s v="2022-2023"/>
    <x v="0"/>
    <n v="9756"/>
    <n v="4646"/>
    <n v="5110"/>
    <n v="63627"/>
    <n v="155"/>
    <n v="47"/>
    <n v="32"/>
    <n v="8737"/>
    <n v="202743"/>
    <n v="5090"/>
    <n v="8336"/>
    <n v="1809"/>
    <n v="1072"/>
    <n v="7068"/>
    <n v="3750"/>
    <n v="1632"/>
    <n v="1627"/>
    <n v="1510"/>
    <n v="9756"/>
    <n v="193206744.52680892"/>
    <n v="576"/>
    <n v="983"/>
    <n v="4037"/>
    <n v="613"/>
    <n v="93"/>
    <n v="94"/>
    <n v="39"/>
    <n v="39"/>
    <n v="349"/>
    <m/>
    <m/>
    <m/>
    <m/>
    <m/>
    <m/>
    <m/>
    <m/>
    <m/>
    <m/>
    <m/>
    <m/>
    <m/>
    <m/>
    <m/>
    <m/>
  </r>
  <r>
    <x v="1"/>
    <n v="9"/>
    <s v="CDMX"/>
    <x v="6"/>
    <s v="2022-2023"/>
    <x v="0"/>
    <n v="44777"/>
    <n v="17484"/>
    <n v="27293"/>
    <n v="141773"/>
    <n v="568"/>
    <n v="130"/>
    <n v="140"/>
    <n v="38896"/>
    <n v="362204"/>
    <n v="21598"/>
    <n v="46483"/>
    <n v="11725"/>
    <n v="10231"/>
    <n v="43891"/>
    <n v="18983"/>
    <n v="10249"/>
    <n v="8846"/>
    <n v="4677"/>
    <n v="44777"/>
    <n v="827522454.30157125"/>
    <n v="2196"/>
    <n v="3705"/>
    <n v="4682"/>
    <n v="409"/>
    <n v="210"/>
    <n v="263"/>
    <n v="2581"/>
    <n v="1996"/>
    <m/>
    <m/>
    <m/>
    <m/>
    <m/>
    <m/>
    <m/>
    <m/>
    <m/>
    <m/>
    <m/>
    <m/>
    <m/>
    <m/>
    <m/>
    <m/>
    <m/>
  </r>
  <r>
    <x v="0"/>
    <n v="5"/>
    <s v="COAH"/>
    <x v="7"/>
    <s v="2022-2023"/>
    <x v="0"/>
    <n v="10128"/>
    <n v="3960"/>
    <n v="6168"/>
    <n v="50818"/>
    <n v="134"/>
    <n v="46"/>
    <n v="35"/>
    <n v="9596"/>
    <n v="167242"/>
    <n v="4824"/>
    <n v="10123"/>
    <n v="2847"/>
    <n v="772"/>
    <n v="9417"/>
    <n v="3726"/>
    <n v="2726"/>
    <n v="2844"/>
    <n v="2842"/>
    <n v="10128"/>
    <n v="179270967.99443966"/>
    <n v="419"/>
    <n v="1141"/>
    <n v="2960"/>
    <n v="65"/>
    <n v="25"/>
    <n v="226"/>
    <n v="52"/>
    <n v="52"/>
    <m/>
    <m/>
    <m/>
    <m/>
    <m/>
    <m/>
    <m/>
    <m/>
    <m/>
    <m/>
    <m/>
    <m/>
    <m/>
    <m/>
    <m/>
    <m/>
    <m/>
  </r>
  <r>
    <x v="0"/>
    <n v="6"/>
    <s v="COL"/>
    <x v="8"/>
    <s v="2022-2023"/>
    <x v="0"/>
    <n v="1800"/>
    <n v="735"/>
    <n v="1065"/>
    <n v="10776"/>
    <n v="47"/>
    <n v="6"/>
    <n v="11"/>
    <n v="1153"/>
    <n v="40089"/>
    <n v="857"/>
    <n v="1760"/>
    <n v="422"/>
    <n v="206"/>
    <n v="1538"/>
    <n v="773"/>
    <n v="332"/>
    <n v="357"/>
    <n v="325"/>
    <n v="1800"/>
    <n v="50359152.541857749"/>
    <n v="110"/>
    <n v="320"/>
    <n v="968"/>
    <n v="114"/>
    <n v="1"/>
    <n v="2"/>
    <n v="114"/>
    <n v="114"/>
    <m/>
    <m/>
    <m/>
    <m/>
    <m/>
    <m/>
    <m/>
    <m/>
    <m/>
    <m/>
    <m/>
    <m/>
    <m/>
    <m/>
    <m/>
    <m/>
    <m/>
  </r>
  <r>
    <x v="0"/>
    <n v="10"/>
    <s v="DGO"/>
    <x v="9"/>
    <s v="2022-2023"/>
    <x v="0"/>
    <n v="1782"/>
    <n v="809"/>
    <n v="973"/>
    <n v="28856"/>
    <n v="51"/>
    <n v="19"/>
    <n v="10"/>
    <n v="1523"/>
    <n v="103401"/>
    <n v="884"/>
    <n v="1607"/>
    <n v="265"/>
    <n v="278"/>
    <n v="1278"/>
    <n v="716"/>
    <n v="243"/>
    <n v="267"/>
    <n v="136"/>
    <n v="1782"/>
    <n v="50728550.520300001"/>
    <n v="139"/>
    <n v="260"/>
    <n v="1912"/>
    <n v="55"/>
    <n v="16"/>
    <n v="16"/>
    <n v="166"/>
    <n v="48"/>
    <m/>
    <m/>
    <m/>
    <m/>
    <m/>
    <m/>
    <m/>
    <m/>
    <m/>
    <m/>
    <m/>
    <m/>
    <m/>
    <m/>
    <m/>
    <m/>
    <m/>
  </r>
  <r>
    <x v="0"/>
    <n v="11"/>
    <s v="GTO"/>
    <x v="10"/>
    <s v="2022-2023"/>
    <x v="0"/>
    <n v="17308"/>
    <n v="6843"/>
    <n v="10465"/>
    <n v="100883"/>
    <n v="309"/>
    <n v="90"/>
    <n v="82"/>
    <n v="15952"/>
    <n v="338825"/>
    <n v="8416"/>
    <n v="16462"/>
    <n v="4258"/>
    <n v="2758"/>
    <n v="15262"/>
    <n v="6879"/>
    <n v="4028"/>
    <n v="4068"/>
    <n v="3841"/>
    <n v="17308"/>
    <n v="284031616.38553494"/>
    <n v="764"/>
    <n v="2187"/>
    <n v="2223"/>
    <n v="354"/>
    <n v="811"/>
    <n v="982"/>
    <n v="345"/>
    <n v="278"/>
    <n v="8068"/>
    <m/>
    <m/>
    <m/>
    <m/>
    <m/>
    <m/>
    <m/>
    <m/>
    <m/>
    <m/>
    <m/>
    <m/>
    <m/>
    <m/>
    <m/>
    <m/>
  </r>
  <r>
    <x v="0"/>
    <n v="12"/>
    <s v="GRO"/>
    <x v="11"/>
    <s v="2022-2023"/>
    <x v="0"/>
    <n v="5993"/>
    <n v="2470"/>
    <n v="3523"/>
    <n v="59820"/>
    <n v="134"/>
    <n v="26"/>
    <n v="41"/>
    <n v="5209"/>
    <n v="208511"/>
    <n v="2884"/>
    <n v="5818"/>
    <n v="1166"/>
    <n v="939"/>
    <n v="4825"/>
    <n v="2417"/>
    <n v="1079"/>
    <n v="1270"/>
    <n v="1058"/>
    <n v="5993"/>
    <n v="167214807.72838384"/>
    <n v="292"/>
    <n v="719"/>
    <n v="15428"/>
    <n v="639"/>
    <n v="5"/>
    <n v="24"/>
    <n v="168"/>
    <n v="168"/>
    <m/>
    <m/>
    <m/>
    <m/>
    <m/>
    <m/>
    <m/>
    <m/>
    <m/>
    <m/>
    <m/>
    <m/>
    <m/>
    <m/>
    <m/>
    <m/>
    <m/>
  </r>
  <r>
    <x v="0"/>
    <n v="13"/>
    <s v="HGO"/>
    <x v="12"/>
    <s v="2022-2023"/>
    <x v="0"/>
    <n v="3885"/>
    <n v="1582"/>
    <n v="2303"/>
    <n v="55325"/>
    <n v="72"/>
    <n v="37"/>
    <n v="17"/>
    <n v="3504"/>
    <n v="166161"/>
    <n v="2100"/>
    <n v="3684"/>
    <n v="938"/>
    <n v="557"/>
    <n v="3439"/>
    <n v="1520"/>
    <n v="881"/>
    <n v="868"/>
    <n v="868"/>
    <n v="3885"/>
    <n v="78836376.058385909"/>
    <n v="192"/>
    <n v="428"/>
    <n v="1841"/>
    <n v="292"/>
    <n v="31"/>
    <n v="33"/>
    <n v="298"/>
    <n v="195"/>
    <m/>
    <m/>
    <m/>
    <m/>
    <m/>
    <m/>
    <m/>
    <m/>
    <m/>
    <m/>
    <m/>
    <m/>
    <m/>
    <m/>
    <m/>
    <m/>
    <m/>
  </r>
  <r>
    <x v="0"/>
    <n v="14"/>
    <s v="JAL"/>
    <x v="13"/>
    <s v="2022-2023"/>
    <x v="0"/>
    <n v="13082"/>
    <n v="5272"/>
    <n v="7810"/>
    <n v="135174"/>
    <n v="273"/>
    <n v="39"/>
    <n v="64"/>
    <n v="11215"/>
    <n v="445616"/>
    <n v="5456"/>
    <n v="13107"/>
    <n v="3101"/>
    <n v="2409"/>
    <n v="11897"/>
    <n v="5317"/>
    <n v="2779"/>
    <n v="2750"/>
    <n v="2301"/>
    <n v="13082"/>
    <n v="305794686.56970632"/>
    <n v="740"/>
    <n v="2084"/>
    <n v="4283"/>
    <n v="466"/>
    <n v="903"/>
    <n v="1037"/>
    <n v="827"/>
    <n v="337"/>
    <n v="620"/>
    <m/>
    <m/>
    <m/>
    <m/>
    <m/>
    <m/>
    <m/>
    <m/>
    <m/>
    <m/>
    <m/>
    <m/>
    <m/>
    <m/>
    <m/>
    <m/>
  </r>
  <r>
    <x v="0"/>
    <n v="15"/>
    <s v="MEX"/>
    <x v="14"/>
    <s v="2022-2023"/>
    <x v="0"/>
    <n v="50543"/>
    <n v="19574"/>
    <n v="30969"/>
    <n v="285765"/>
    <n v="790"/>
    <n v="188"/>
    <n v="211"/>
    <n v="45965"/>
    <n v="884035"/>
    <n v="19607"/>
    <n v="48029"/>
    <n v="12467"/>
    <n v="4038"/>
    <n v="45825"/>
    <n v="18923"/>
    <n v="11113"/>
    <n v="10186"/>
    <n v="6474"/>
    <n v="50543"/>
    <n v="899576487.46477783"/>
    <n v="2089"/>
    <n v="4445"/>
    <n v="6829"/>
    <n v="964"/>
    <n v="952"/>
    <n v="1164"/>
    <n v="46072"/>
    <n v="38684"/>
    <n v="1142"/>
    <m/>
    <m/>
    <m/>
    <m/>
    <m/>
    <m/>
    <m/>
    <m/>
    <m/>
    <m/>
    <m/>
    <m/>
    <m/>
    <m/>
    <m/>
    <m/>
  </r>
  <r>
    <x v="0"/>
    <n v="16"/>
    <s v="MICH"/>
    <x v="15"/>
    <s v="2022-2023"/>
    <x v="0"/>
    <n v="11459"/>
    <n v="4882"/>
    <n v="6577"/>
    <n v="66089"/>
    <n v="245"/>
    <n v="53"/>
    <n v="67"/>
    <n v="10116"/>
    <n v="260706"/>
    <n v="5868"/>
    <n v="10545"/>
    <n v="2732"/>
    <n v="857"/>
    <n v="9759"/>
    <n v="4436"/>
    <n v="2432"/>
    <n v="2325"/>
    <n v="2054"/>
    <n v="11459"/>
    <n v="232419055.05010808"/>
    <n v="444"/>
    <n v="1204"/>
    <n v="882"/>
    <n v="657"/>
    <n v="146"/>
    <n v="164"/>
    <n v="10274"/>
    <n v="7992"/>
    <m/>
    <m/>
    <m/>
    <m/>
    <m/>
    <m/>
    <m/>
    <m/>
    <m/>
    <m/>
    <m/>
    <m/>
    <m/>
    <m/>
    <m/>
    <m/>
    <m/>
  </r>
  <r>
    <x v="0"/>
    <n v="17"/>
    <s v="MOR"/>
    <x v="16"/>
    <s v="2022-2023"/>
    <x v="0"/>
    <n v="4790"/>
    <n v="2057"/>
    <n v="2733"/>
    <n v="30324"/>
    <n v="74"/>
    <n v="17"/>
    <n v="13"/>
    <n v="4276"/>
    <n v="102489"/>
    <n v="2437"/>
    <n v="4277"/>
    <n v="899"/>
    <n v="464"/>
    <n v="3594"/>
    <n v="1884"/>
    <n v="805"/>
    <n v="854"/>
    <n v="735"/>
    <n v="4790"/>
    <n v="87359886.976342246"/>
    <n v="238"/>
    <n v="532"/>
    <n v="7416"/>
    <n v="45"/>
    <n v="87"/>
    <n v="89"/>
    <n v="725"/>
    <n v="725"/>
    <m/>
    <m/>
    <m/>
    <m/>
    <m/>
    <m/>
    <m/>
    <m/>
    <m/>
    <m/>
    <m/>
    <m/>
    <m/>
    <m/>
    <m/>
    <m/>
    <m/>
  </r>
  <r>
    <x v="0"/>
    <n v="18"/>
    <s v="NAY"/>
    <x v="17"/>
    <s v="2022-2023"/>
    <x v="0"/>
    <n v="3487"/>
    <n v="1582"/>
    <n v="1905"/>
    <n v="20292"/>
    <n v="59"/>
    <n v="10"/>
    <n v="14"/>
    <n v="3268"/>
    <n v="69289"/>
    <n v="1814"/>
    <n v="2949"/>
    <n v="588"/>
    <n v="807"/>
    <n v="2716"/>
    <n v="1353"/>
    <n v="548"/>
    <n v="433"/>
    <n v="290"/>
    <n v="3487"/>
    <n v="59794704.334559582"/>
    <n v="115"/>
    <n v="361"/>
    <n v="712"/>
    <n v="39"/>
    <n v="16"/>
    <n v="19"/>
    <n v="0"/>
    <n v="0"/>
    <m/>
    <m/>
    <m/>
    <m/>
    <m/>
    <m/>
    <m/>
    <m/>
    <m/>
    <m/>
    <m/>
    <m/>
    <m/>
    <m/>
    <m/>
    <m/>
    <m/>
  </r>
  <r>
    <x v="0"/>
    <n v="19"/>
    <s v="NL"/>
    <x v="18"/>
    <s v="2022-2023"/>
    <x v="0"/>
    <n v="21662"/>
    <n v="9457"/>
    <n v="12205"/>
    <n v="92636"/>
    <n v="297"/>
    <n v="78"/>
    <n v="81"/>
    <n v="19203"/>
    <n v="283767"/>
    <n v="12314"/>
    <n v="23335"/>
    <n v="5230"/>
    <n v="5134"/>
    <n v="19491"/>
    <n v="8832"/>
    <n v="5019"/>
    <n v="5701"/>
    <n v="5492"/>
    <n v="21662"/>
    <n v="267627108.49093634"/>
    <n v="957"/>
    <n v="1549"/>
    <n v="41660"/>
    <n v="2075"/>
    <n v="1453"/>
    <n v="1774"/>
    <n v="22919"/>
    <n v="15471"/>
    <n v="442"/>
    <m/>
    <m/>
    <m/>
    <m/>
    <m/>
    <m/>
    <m/>
    <m/>
    <m/>
    <m/>
    <m/>
    <m/>
    <m/>
    <m/>
    <m/>
    <m/>
  </r>
  <r>
    <x v="1"/>
    <n v="20"/>
    <s v="OAX"/>
    <x v="19"/>
    <s v="2022-2023"/>
    <x v="0"/>
    <n v="6550"/>
    <n v="2866"/>
    <n v="3684"/>
    <n v="65985"/>
    <n v="121"/>
    <n v="24"/>
    <n v="31"/>
    <n v="5627"/>
    <n v="229368"/>
    <n v="3319"/>
    <n v="5832"/>
    <n v="1182"/>
    <n v="1079"/>
    <n v="5018"/>
    <n v="2674"/>
    <n v="1058"/>
    <n v="1004"/>
    <n v="416"/>
    <n v="6550"/>
    <n v="234557658.79106081"/>
    <n v="410"/>
    <n v="637"/>
    <n v="275"/>
    <n v="6"/>
    <n v="0"/>
    <n v="0"/>
    <n v="342"/>
    <n v="61"/>
    <m/>
    <m/>
    <m/>
    <m/>
    <m/>
    <m/>
    <m/>
    <m/>
    <m/>
    <m/>
    <m/>
    <m/>
    <m/>
    <m/>
    <m/>
    <m/>
    <m/>
  </r>
  <r>
    <x v="0"/>
    <n v="21"/>
    <s v="PUE"/>
    <x v="20"/>
    <s v="2022-2023"/>
    <x v="0"/>
    <n v="7645"/>
    <n v="2979"/>
    <n v="4666"/>
    <n v="109366"/>
    <n v="153"/>
    <n v="41"/>
    <n v="39"/>
    <n v="7006"/>
    <n v="367195"/>
    <n v="3639"/>
    <n v="7616"/>
    <n v="1968"/>
    <n v="936"/>
    <n v="7000"/>
    <n v="2713"/>
    <n v="1844"/>
    <n v="1850"/>
    <n v="1703"/>
    <n v="7645"/>
    <n v="191758341.15988243"/>
    <n v="395"/>
    <n v="1005"/>
    <n v="3020"/>
    <n v="97"/>
    <n v="105"/>
    <n v="105"/>
    <n v="3194"/>
    <n v="2498"/>
    <m/>
    <m/>
    <m/>
    <m/>
    <m/>
    <m/>
    <m/>
    <m/>
    <m/>
    <m/>
    <m/>
    <m/>
    <m/>
    <m/>
    <m/>
    <m/>
    <m/>
  </r>
  <r>
    <x v="0"/>
    <n v="22"/>
    <s v="QRO"/>
    <x v="21"/>
    <s v="2022-2023"/>
    <x v="0"/>
    <n v="3851"/>
    <n v="1730"/>
    <n v="2121"/>
    <n v="39965"/>
    <n v="73"/>
    <n v="27"/>
    <n v="27"/>
    <n v="3521"/>
    <n v="120941"/>
    <n v="1886"/>
    <n v="3548"/>
    <n v="778"/>
    <n v="718"/>
    <n v="3136"/>
    <n v="1403"/>
    <n v="719"/>
    <n v="709"/>
    <n v="700"/>
    <n v="3851"/>
    <n v="64677032.960299999"/>
    <n v="240"/>
    <n v="449"/>
    <n v="515"/>
    <n v="42"/>
    <n v="114"/>
    <n v="133"/>
    <n v="12"/>
    <n v="12"/>
    <m/>
    <m/>
    <m/>
    <m/>
    <m/>
    <m/>
    <m/>
    <m/>
    <m/>
    <m/>
    <m/>
    <m/>
    <m/>
    <m/>
    <m/>
    <m/>
    <m/>
  </r>
  <r>
    <x v="0"/>
    <n v="23"/>
    <s v="QROO"/>
    <x v="22"/>
    <s v="2022-2023"/>
    <x v="0"/>
    <n v="9930"/>
    <n v="3702"/>
    <n v="6228"/>
    <n v="29608"/>
    <n v="119"/>
    <n v="18"/>
    <n v="30"/>
    <n v="8995"/>
    <n v="90341"/>
    <n v="4102"/>
    <n v="9384"/>
    <n v="2370"/>
    <n v="637"/>
    <n v="8866"/>
    <n v="3089"/>
    <n v="2184"/>
    <n v="2052"/>
    <n v="1813"/>
    <n v="9930"/>
    <n v="119822061.78945583"/>
    <n v="427"/>
    <n v="771"/>
    <n v="10968"/>
    <n v="140"/>
    <n v="23"/>
    <n v="78"/>
    <n v="518"/>
    <n v="225"/>
    <m/>
    <m/>
    <m/>
    <m/>
    <m/>
    <m/>
    <m/>
    <m/>
    <m/>
    <m/>
    <m/>
    <m/>
    <m/>
    <m/>
    <m/>
    <m/>
    <m/>
  </r>
  <r>
    <x v="0"/>
    <n v="24"/>
    <s v="SLP"/>
    <x v="23"/>
    <s v="2022-2023"/>
    <x v="0"/>
    <n v="5213"/>
    <n v="2177"/>
    <n v="3036"/>
    <n v="45521"/>
    <n v="98"/>
    <n v="26"/>
    <n v="25"/>
    <n v="4614"/>
    <n v="154479"/>
    <n v="2630"/>
    <n v="4786"/>
    <n v="1216"/>
    <n v="1029"/>
    <n v="4407"/>
    <n v="1919"/>
    <n v="1135"/>
    <n v="1099"/>
    <n v="1033"/>
    <n v="5213"/>
    <n v="105227303.42341058"/>
    <n v="248"/>
    <n v="427"/>
    <n v="1526"/>
    <n v="460"/>
    <n v="268"/>
    <n v="311"/>
    <n v="93"/>
    <n v="93"/>
    <m/>
    <m/>
    <m/>
    <m/>
    <m/>
    <m/>
    <m/>
    <m/>
    <m/>
    <m/>
    <m/>
    <m/>
    <m/>
    <m/>
    <m/>
    <m/>
    <m/>
  </r>
  <r>
    <x v="0"/>
    <n v="25"/>
    <s v="SIN"/>
    <x v="24"/>
    <s v="2022-2023"/>
    <x v="0"/>
    <n v="8555"/>
    <n v="3551"/>
    <n v="5004"/>
    <n v="48530"/>
    <n v="236"/>
    <n v="72"/>
    <n v="40"/>
    <n v="7830"/>
    <n v="164630"/>
    <n v="3878"/>
    <n v="7922"/>
    <n v="2212"/>
    <n v="1222"/>
    <n v="7654"/>
    <n v="3156"/>
    <n v="2022"/>
    <n v="1961"/>
    <n v="1954"/>
    <n v="8555"/>
    <n v="274651990.0409115"/>
    <n v="487"/>
    <n v="1117"/>
    <n v="2417"/>
    <n v="129"/>
    <n v="35"/>
    <n v="76"/>
    <n v="0"/>
    <n v="0"/>
    <m/>
    <m/>
    <m/>
    <m/>
    <m/>
    <m/>
    <m/>
    <m/>
    <m/>
    <m/>
    <m/>
    <m/>
    <m/>
    <m/>
    <m/>
    <m/>
    <m/>
  </r>
  <r>
    <x v="0"/>
    <n v="26"/>
    <s v="SON"/>
    <x v="25"/>
    <s v="2022-2023"/>
    <x v="0"/>
    <n v="16098"/>
    <n v="6615"/>
    <n v="9483"/>
    <n v="50417"/>
    <n v="266"/>
    <n v="49"/>
    <n v="45"/>
    <n v="14681"/>
    <n v="160534"/>
    <n v="6681"/>
    <n v="15407"/>
    <n v="3517"/>
    <n v="3604"/>
    <n v="14203"/>
    <n v="6159"/>
    <n v="3190"/>
    <n v="2909"/>
    <n v="2146"/>
    <n v="16098"/>
    <n v="267112922.48971292"/>
    <n v="587"/>
    <n v="857"/>
    <n v="682"/>
    <n v="999"/>
    <n v="58"/>
    <n v="65"/>
    <n v="37"/>
    <n v="37"/>
    <m/>
    <m/>
    <m/>
    <m/>
    <m/>
    <m/>
    <m/>
    <m/>
    <m/>
    <m/>
    <m/>
    <m/>
    <m/>
    <m/>
    <m/>
    <m/>
    <m/>
  </r>
  <r>
    <x v="0"/>
    <n v="27"/>
    <s v="TAB"/>
    <x v="26"/>
    <s v="2022-2023"/>
    <x v="0"/>
    <n v="5842"/>
    <n v="2333"/>
    <n v="3509"/>
    <n v="44150"/>
    <n v="90"/>
    <n v="27"/>
    <n v="21"/>
    <n v="5392"/>
    <n v="135391"/>
    <n v="2335"/>
    <n v="5431"/>
    <n v="1547"/>
    <n v="357"/>
    <n v="5224"/>
    <n v="2129"/>
    <n v="1462"/>
    <n v="1356"/>
    <n v="1326"/>
    <n v="5842"/>
    <n v="135885647.80048683"/>
    <n v="306"/>
    <n v="484"/>
    <n v="118"/>
    <n v="38"/>
    <n v="50"/>
    <n v="54"/>
    <n v="81"/>
    <n v="81"/>
    <m/>
    <m/>
    <m/>
    <m/>
    <m/>
    <m/>
    <m/>
    <m/>
    <m/>
    <m/>
    <m/>
    <m/>
    <m/>
    <m/>
    <m/>
    <m/>
    <m/>
  </r>
  <r>
    <x v="0"/>
    <n v="28"/>
    <s v="TAMPS"/>
    <x v="27"/>
    <s v="2022-2023"/>
    <x v="0"/>
    <n v="7970"/>
    <n v="3483"/>
    <n v="4487"/>
    <n v="57270"/>
    <n v="164"/>
    <n v="30"/>
    <n v="42"/>
    <n v="7387"/>
    <n v="188540"/>
    <n v="3796"/>
    <n v="6916"/>
    <n v="1922"/>
    <n v="863"/>
    <n v="6748"/>
    <n v="3065"/>
    <n v="1801"/>
    <n v="1780"/>
    <n v="1747"/>
    <n v="7970"/>
    <n v="208190697.59789068"/>
    <n v="357"/>
    <n v="1077"/>
    <n v="3269"/>
    <n v="179"/>
    <n v="65"/>
    <n v="65"/>
    <n v="0"/>
    <n v="0"/>
    <n v="45"/>
    <m/>
    <m/>
    <m/>
    <m/>
    <m/>
    <m/>
    <m/>
    <m/>
    <m/>
    <m/>
    <m/>
    <m/>
    <m/>
    <m/>
    <m/>
    <m/>
  </r>
  <r>
    <x v="0"/>
    <n v="29"/>
    <s v="TLAX"/>
    <x v="28"/>
    <s v="2022-2023"/>
    <x v="0"/>
    <n v="3315"/>
    <n v="1257"/>
    <n v="2058"/>
    <n v="23951"/>
    <n v="49"/>
    <n v="18"/>
    <n v="15"/>
    <n v="3100"/>
    <n v="74712"/>
    <n v="1391"/>
    <n v="3146"/>
    <n v="855"/>
    <n v="369"/>
    <n v="3069"/>
    <n v="1171"/>
    <n v="791"/>
    <n v="765"/>
    <n v="742"/>
    <n v="3315"/>
    <n v="52799734.760300003"/>
    <n v="175"/>
    <n v="455"/>
    <n v="346"/>
    <n v="18"/>
    <n v="6"/>
    <n v="6"/>
    <n v="0"/>
    <n v="0"/>
    <m/>
    <m/>
    <m/>
    <m/>
    <m/>
    <m/>
    <m/>
    <m/>
    <m/>
    <m/>
    <m/>
    <m/>
    <m/>
    <m/>
    <m/>
    <m/>
    <m/>
  </r>
  <r>
    <x v="0"/>
    <n v="30"/>
    <s v="VER"/>
    <x v="29"/>
    <s v="2022-2023"/>
    <x v="0"/>
    <n v="12512"/>
    <n v="4855"/>
    <n v="7657"/>
    <n v="119336"/>
    <n v="183"/>
    <n v="44"/>
    <n v="75"/>
    <n v="11686"/>
    <n v="430653"/>
    <n v="6193"/>
    <n v="11461"/>
    <n v="2953"/>
    <n v="1209"/>
    <n v="11031"/>
    <n v="3739"/>
    <n v="2847"/>
    <n v="2432"/>
    <n v="2178"/>
    <n v="12512"/>
    <n v="281758962.55795401"/>
    <n v="592"/>
    <n v="1543"/>
    <n v="6557"/>
    <n v="70"/>
    <n v="42"/>
    <n v="324"/>
    <n v="1429"/>
    <n v="708"/>
    <n v="418"/>
    <m/>
    <m/>
    <m/>
    <m/>
    <m/>
    <m/>
    <m/>
    <m/>
    <m/>
    <m/>
    <m/>
    <m/>
    <m/>
    <m/>
    <m/>
    <m/>
  </r>
  <r>
    <x v="0"/>
    <n v="31"/>
    <s v="YUC"/>
    <x v="30"/>
    <s v="2022-2023"/>
    <x v="0"/>
    <n v="5523"/>
    <n v="2205"/>
    <n v="3318"/>
    <n v="35950"/>
    <n v="69"/>
    <n v="14"/>
    <n v="18"/>
    <n v="4453"/>
    <n v="113782"/>
    <n v="2396"/>
    <n v="5289"/>
    <n v="1217"/>
    <n v="1027"/>
    <n v="4771"/>
    <n v="1994"/>
    <n v="1053"/>
    <n v="929"/>
    <n v="734"/>
    <n v="5523"/>
    <n v="121144963.89596583"/>
    <n v="259"/>
    <n v="484"/>
    <n v="4955"/>
    <n v="224"/>
    <n v="171"/>
    <n v="173"/>
    <n v="623"/>
    <n v="516"/>
    <m/>
    <m/>
    <m/>
    <m/>
    <m/>
    <m/>
    <m/>
    <m/>
    <m/>
    <m/>
    <m/>
    <m/>
    <m/>
    <m/>
    <m/>
    <m/>
    <m/>
  </r>
  <r>
    <x v="0"/>
    <n v="32"/>
    <s v="ZAC"/>
    <x v="31"/>
    <s v="2022-2023"/>
    <x v="0"/>
    <n v="1477"/>
    <n v="661"/>
    <n v="816"/>
    <n v="27483"/>
    <n v="60"/>
    <n v="21"/>
    <n v="7"/>
    <n v="1193"/>
    <n v="91330"/>
    <n v="777"/>
    <n v="1419"/>
    <n v="223"/>
    <n v="525"/>
    <n v="1238"/>
    <n v="610"/>
    <n v="181"/>
    <n v="223"/>
    <n v="181"/>
    <n v="1477"/>
    <n v="46764753.776171833"/>
    <n v="81"/>
    <n v="197"/>
    <n v="365"/>
    <n v="185"/>
    <n v="24"/>
    <n v="26"/>
    <n v="3"/>
    <n v="3"/>
    <m/>
    <m/>
    <m/>
    <m/>
    <m/>
    <m/>
    <m/>
    <m/>
    <m/>
    <m/>
    <m/>
    <m/>
    <m/>
    <m/>
    <m/>
    <m/>
    <m/>
  </r>
  <r>
    <x v="2"/>
    <n v="33"/>
    <s v="OTRO"/>
    <x v="32"/>
    <s v="2022-2023"/>
    <x v="0"/>
    <m/>
    <m/>
    <m/>
    <m/>
    <m/>
    <m/>
    <m/>
    <m/>
    <m/>
    <m/>
    <m/>
    <m/>
    <m/>
    <m/>
    <m/>
    <m/>
    <m/>
    <m/>
    <m/>
    <m/>
    <m/>
    <m/>
    <m/>
    <m/>
    <m/>
    <m/>
    <n v="1204"/>
    <n v="1201"/>
    <m/>
    <m/>
    <m/>
    <m/>
    <m/>
    <m/>
    <m/>
    <m/>
    <m/>
    <m/>
    <m/>
    <m/>
    <m/>
    <m/>
    <m/>
    <m/>
    <m/>
  </r>
  <r>
    <x v="1"/>
    <n v="0"/>
    <s v="ON"/>
    <x v="33"/>
    <s v="2022-2023"/>
    <x v="0"/>
    <m/>
    <m/>
    <m/>
    <m/>
    <m/>
    <m/>
    <m/>
    <m/>
    <m/>
    <m/>
    <m/>
    <m/>
    <m/>
    <m/>
    <m/>
    <m/>
    <m/>
    <m/>
    <m/>
    <m/>
    <m/>
    <m/>
    <n v="4839"/>
    <m/>
    <m/>
    <m/>
    <n v="2286"/>
    <n v="2238"/>
    <m/>
    <n v="504351.18284999998"/>
    <n v="1716208.933"/>
    <n v="1716208.933"/>
    <n v="1725174.2520000001"/>
    <n v="1680174.2520000001"/>
    <n v="1680174.2520000001"/>
    <n v="1716208.933"/>
    <n v="1725174.2520000001"/>
    <n v="0"/>
    <n v="0"/>
    <n v="36034.680999999997"/>
    <n v="1716208.933"/>
    <n v="39503.966999999997"/>
    <n v="45000"/>
    <m/>
    <m/>
  </r>
  <r>
    <x v="0"/>
    <n v="1"/>
    <s v="AGS"/>
    <x v="0"/>
    <s v="2021-2022"/>
    <x v="1"/>
    <n v="4237"/>
    <n v="1578"/>
    <n v="2659"/>
    <n v="23123"/>
    <n v="83"/>
    <n v="19"/>
    <n v="22"/>
    <n v="3913"/>
    <n v="80810"/>
    <n v="2543"/>
    <n v="4531"/>
    <n v="1120"/>
    <n v="755"/>
    <n v="3937"/>
    <n v="1689"/>
    <n v="1037"/>
    <n v="1067"/>
    <n v="993"/>
    <n v="4237"/>
    <n v="82825222"/>
    <n v="272"/>
    <n v="429"/>
    <n v="1136"/>
    <n v="71"/>
    <n v="39"/>
    <n v="59"/>
    <n v="2428"/>
    <n v="2240"/>
    <m/>
    <m/>
    <m/>
    <m/>
    <m/>
    <m/>
    <m/>
    <m/>
    <m/>
    <m/>
    <m/>
    <m/>
    <m/>
    <m/>
    <m/>
    <m/>
    <m/>
  </r>
  <r>
    <x v="0"/>
    <n v="2"/>
    <s v="BC"/>
    <x v="1"/>
    <s v="2021-2022"/>
    <x v="1"/>
    <n v="8841"/>
    <n v="3331"/>
    <n v="5510"/>
    <n v="59470"/>
    <n v="125"/>
    <n v="32"/>
    <n v="24"/>
    <n v="7562"/>
    <n v="187199"/>
    <n v="3517"/>
    <n v="8621"/>
    <n v="1687"/>
    <n v="1125"/>
    <n v="7861"/>
    <n v="3296"/>
    <n v="1597"/>
    <n v="1630"/>
    <n v="1493"/>
    <n v="8841"/>
    <n v="151148152.66"/>
    <n v="384"/>
    <n v="749"/>
    <n v="6040"/>
    <n v="199"/>
    <n v="241"/>
    <n v="242"/>
    <n v="1137"/>
    <n v="1131"/>
    <n v="194"/>
    <m/>
    <m/>
    <m/>
    <m/>
    <m/>
    <m/>
    <m/>
    <m/>
    <m/>
    <m/>
    <m/>
    <m/>
    <m/>
    <m/>
    <m/>
    <m/>
  </r>
  <r>
    <x v="0"/>
    <n v="3"/>
    <s v="BCS"/>
    <x v="2"/>
    <s v="2021-2022"/>
    <x v="1"/>
    <n v="1531"/>
    <n v="709"/>
    <n v="822"/>
    <n v="12883"/>
    <n v="18"/>
    <n v="5"/>
    <n v="1"/>
    <n v="1314"/>
    <n v="40506"/>
    <n v="985"/>
    <n v="1505"/>
    <n v="378"/>
    <n v="308"/>
    <n v="1289"/>
    <n v="679"/>
    <n v="368"/>
    <n v="326"/>
    <n v="325"/>
    <n v="1531"/>
    <n v="37802262.619999997"/>
    <n v="80"/>
    <n v="217"/>
    <n v="418"/>
    <m/>
    <m/>
    <n v="1"/>
    <n v="0"/>
    <n v="0"/>
    <m/>
    <m/>
    <m/>
    <m/>
    <m/>
    <m/>
    <m/>
    <m/>
    <m/>
    <m/>
    <m/>
    <m/>
    <m/>
    <m/>
    <m/>
    <m/>
    <m/>
  </r>
  <r>
    <x v="0"/>
    <n v="4"/>
    <s v="CAMP"/>
    <x v="3"/>
    <s v="2021-2022"/>
    <x v="1"/>
    <n v="1937"/>
    <n v="795"/>
    <n v="1142"/>
    <n v="14576"/>
    <n v="39"/>
    <n v="9"/>
    <n v="13"/>
    <n v="1566"/>
    <n v="51300"/>
    <n v="882"/>
    <n v="1959"/>
    <n v="448"/>
    <n v="385"/>
    <n v="1668"/>
    <n v="798"/>
    <n v="423"/>
    <n v="395"/>
    <n v="316"/>
    <n v="1937"/>
    <n v="46249327.069999993"/>
    <n v="121"/>
    <n v="331"/>
    <n v="2251"/>
    <m/>
    <n v="12"/>
    <n v="12"/>
    <n v="794"/>
    <n v="765"/>
    <m/>
    <m/>
    <m/>
    <m/>
    <m/>
    <m/>
    <m/>
    <m/>
    <m/>
    <m/>
    <m/>
    <m/>
    <m/>
    <m/>
    <m/>
    <m/>
    <m/>
  </r>
  <r>
    <x v="0"/>
    <n v="7"/>
    <s v="CHIAP"/>
    <x v="4"/>
    <s v="2021-2022"/>
    <x v="1"/>
    <n v="8499"/>
    <n v="3840"/>
    <n v="4659"/>
    <n v="92843"/>
    <n v="160"/>
    <n v="17"/>
    <n v="51"/>
    <n v="5951"/>
    <n v="337886"/>
    <n v="4649"/>
    <n v="7105"/>
    <n v="1645"/>
    <n v="1078"/>
    <n v="6796"/>
    <n v="2491"/>
    <n v="1584"/>
    <n v="1773"/>
    <n v="1365"/>
    <n v="8499"/>
    <n v="221110958"/>
    <n v="430"/>
    <n v="714"/>
    <n v="3583"/>
    <n v="63"/>
    <n v="75"/>
    <n v="104"/>
    <n v="543"/>
    <n v="541"/>
    <m/>
    <m/>
    <m/>
    <m/>
    <m/>
    <m/>
    <m/>
    <m/>
    <m/>
    <m/>
    <m/>
    <m/>
    <m/>
    <m/>
    <m/>
    <m/>
    <m/>
  </r>
  <r>
    <x v="0"/>
    <n v="8"/>
    <s v="CHIH"/>
    <x v="5"/>
    <s v="2021-2022"/>
    <x v="1"/>
    <n v="8336"/>
    <n v="3423"/>
    <n v="4913"/>
    <n v="58401"/>
    <n v="154"/>
    <n v="47"/>
    <n v="32"/>
    <n v="7575"/>
    <n v="203269"/>
    <n v="4110"/>
    <n v="8628"/>
    <n v="1729"/>
    <n v="1720"/>
    <n v="7038"/>
    <n v="3347"/>
    <n v="1627"/>
    <n v="1941"/>
    <n v="1770"/>
    <n v="8336"/>
    <n v="203227754"/>
    <n v="562"/>
    <n v="983"/>
    <n v="2181"/>
    <n v="176"/>
    <n v="208"/>
    <n v="226"/>
    <n v="174"/>
    <n v="166"/>
    <n v="374"/>
    <m/>
    <m/>
    <m/>
    <m/>
    <m/>
    <m/>
    <m/>
    <m/>
    <m/>
    <m/>
    <m/>
    <m/>
    <m/>
    <m/>
    <m/>
    <m/>
  </r>
  <r>
    <x v="1"/>
    <n v="9"/>
    <s v="CDMX"/>
    <x v="6"/>
    <s v="2021-2022"/>
    <x v="1"/>
    <n v="46483"/>
    <n v="16933"/>
    <n v="29550"/>
    <n v="141390"/>
    <n v="575"/>
    <n v="131"/>
    <n v="139"/>
    <n v="39101"/>
    <n v="369537"/>
    <n v="20273"/>
    <n v="45497"/>
    <n v="9666"/>
    <n v="5077"/>
    <n v="42419"/>
    <n v="18512"/>
    <n v="8846"/>
    <n v="8086"/>
    <n v="4165"/>
    <n v="46483"/>
    <n v="743102655.43532991"/>
    <n v="2265"/>
    <n v="3705"/>
    <n v="3707"/>
    <n v="76"/>
    <n v="245"/>
    <n v="281"/>
    <n v="301"/>
    <n v="206"/>
    <m/>
    <m/>
    <m/>
    <m/>
    <m/>
    <m/>
    <m/>
    <m/>
    <m/>
    <m/>
    <m/>
    <m/>
    <m/>
    <m/>
    <m/>
    <m/>
    <m/>
  </r>
  <r>
    <x v="0"/>
    <n v="5"/>
    <s v="COAH"/>
    <x v="7"/>
    <s v="2021-2022"/>
    <x v="1"/>
    <n v="10123"/>
    <n v="3684"/>
    <n v="6439"/>
    <n v="49463"/>
    <n v="135"/>
    <n v="43"/>
    <n v="36"/>
    <n v="9543"/>
    <n v="167219"/>
    <n v="4253"/>
    <n v="10367"/>
    <n v="2917"/>
    <n v="1029"/>
    <n v="9857"/>
    <n v="3963"/>
    <n v="2844"/>
    <n v="3172"/>
    <n v="3170"/>
    <n v="10123"/>
    <n v="164530280.71000001"/>
    <n v="423"/>
    <n v="1141"/>
    <n v="700"/>
    <n v="42"/>
    <n v="75"/>
    <n v="86"/>
    <n v="37"/>
    <n v="24"/>
    <m/>
    <m/>
    <m/>
    <m/>
    <m/>
    <m/>
    <m/>
    <m/>
    <m/>
    <m/>
    <m/>
    <m/>
    <m/>
    <m/>
    <m/>
    <m/>
    <m/>
  </r>
  <r>
    <x v="0"/>
    <n v="6"/>
    <s v="COL"/>
    <x v="8"/>
    <s v="2021-2022"/>
    <x v="1"/>
    <n v="1760"/>
    <n v="681"/>
    <n v="1079"/>
    <n v="10985"/>
    <n v="47"/>
    <n v="6"/>
    <n v="11"/>
    <n v="1119"/>
    <n v="39871"/>
    <n v="759"/>
    <n v="1849"/>
    <n v="393"/>
    <n v="316"/>
    <n v="1488"/>
    <n v="763"/>
    <n v="357"/>
    <n v="349"/>
    <n v="313"/>
    <n v="1760"/>
    <n v="46380274.670000002"/>
    <n v="110"/>
    <n v="320"/>
    <n v="363"/>
    <n v="7"/>
    <n v="2"/>
    <n v="21"/>
    <n v="15"/>
    <n v="15"/>
    <m/>
    <m/>
    <m/>
    <m/>
    <m/>
    <m/>
    <m/>
    <m/>
    <m/>
    <m/>
    <m/>
    <m/>
    <m/>
    <m/>
    <m/>
    <m/>
    <m/>
  </r>
  <r>
    <x v="0"/>
    <n v="10"/>
    <s v="DGO"/>
    <x v="9"/>
    <s v="2021-2022"/>
    <x v="1"/>
    <n v="1607"/>
    <n v="722"/>
    <n v="885"/>
    <n v="29051"/>
    <n v="51"/>
    <n v="19"/>
    <n v="10"/>
    <n v="1355"/>
    <n v="103115"/>
    <n v="794"/>
    <n v="1601"/>
    <n v="294"/>
    <n v="500"/>
    <n v="1288"/>
    <n v="744"/>
    <n v="267"/>
    <n v="401"/>
    <n v="235"/>
    <n v="1607"/>
    <n v="45738490.170000002"/>
    <n v="148"/>
    <n v="260"/>
    <n v="1904"/>
    <n v="34"/>
    <n v="32"/>
    <n v="32"/>
    <n v="26"/>
    <n v="26"/>
    <m/>
    <m/>
    <m/>
    <m/>
    <m/>
    <m/>
    <m/>
    <m/>
    <m/>
    <m/>
    <m/>
    <m/>
    <m/>
    <m/>
    <m/>
    <m/>
    <m/>
  </r>
  <r>
    <x v="0"/>
    <n v="11"/>
    <s v="GTO"/>
    <x v="10"/>
    <s v="2021-2022"/>
    <x v="1"/>
    <n v="16462"/>
    <n v="6288"/>
    <n v="10174"/>
    <n v="100029"/>
    <n v="308"/>
    <n v="90"/>
    <n v="82"/>
    <n v="15302"/>
    <n v="339774"/>
    <n v="7626"/>
    <n v="17465"/>
    <n v="4136"/>
    <n v="3989"/>
    <n v="15576"/>
    <n v="6642"/>
    <n v="4068"/>
    <n v="5149"/>
    <n v="4886"/>
    <n v="16462"/>
    <n v="292445970.76999998"/>
    <n v="804"/>
    <n v="2187"/>
    <n v="1214"/>
    <n v="107"/>
    <n v="1029"/>
    <n v="1309"/>
    <n v="119"/>
    <n v="96"/>
    <n v="6553"/>
    <m/>
    <m/>
    <m/>
    <m/>
    <m/>
    <m/>
    <m/>
    <m/>
    <m/>
    <m/>
    <m/>
    <m/>
    <m/>
    <m/>
    <m/>
    <m/>
  </r>
  <r>
    <x v="0"/>
    <n v="12"/>
    <s v="GRO"/>
    <x v="11"/>
    <s v="2021-2022"/>
    <x v="1"/>
    <n v="5818"/>
    <n v="2452"/>
    <n v="3366"/>
    <n v="60756"/>
    <n v="134"/>
    <n v="26"/>
    <n v="41"/>
    <n v="5107"/>
    <n v="209485"/>
    <n v="2768"/>
    <n v="5983"/>
    <n v="1328"/>
    <n v="1597"/>
    <n v="5020"/>
    <n v="2388"/>
    <n v="1270"/>
    <n v="1392"/>
    <n v="1045"/>
    <n v="5818"/>
    <n v="169830661"/>
    <n v="290"/>
    <n v="719"/>
    <n v="11625"/>
    <n v="644"/>
    <n v="7"/>
    <n v="7"/>
    <n v="20"/>
    <n v="20"/>
    <m/>
    <m/>
    <m/>
    <m/>
    <m/>
    <m/>
    <m/>
    <m/>
    <m/>
    <m/>
    <m/>
    <m/>
    <m/>
    <m/>
    <m/>
    <m/>
    <m/>
  </r>
  <r>
    <x v="0"/>
    <n v="13"/>
    <s v="HGO"/>
    <x v="12"/>
    <s v="2021-2022"/>
    <x v="1"/>
    <n v="3684"/>
    <n v="1427"/>
    <n v="2257"/>
    <n v="55543"/>
    <n v="72"/>
    <n v="37"/>
    <n v="17"/>
    <n v="3325"/>
    <n v="165727"/>
    <n v="1723"/>
    <n v="3744"/>
    <n v="913"/>
    <n v="469"/>
    <n v="3397"/>
    <n v="1421"/>
    <n v="868"/>
    <n v="864"/>
    <n v="862"/>
    <n v="3684"/>
    <n v="70934691.959999993"/>
    <n v="194"/>
    <n v="428"/>
    <n v="1140"/>
    <m/>
    <n v="29"/>
    <n v="35"/>
    <n v="79"/>
    <n v="76"/>
    <m/>
    <m/>
    <m/>
    <m/>
    <m/>
    <m/>
    <m/>
    <m/>
    <m/>
    <m/>
    <m/>
    <m/>
    <m/>
    <m/>
    <m/>
    <m/>
    <m/>
  </r>
  <r>
    <x v="0"/>
    <n v="14"/>
    <s v="JAL"/>
    <x v="13"/>
    <s v="2021-2022"/>
    <x v="1"/>
    <n v="13107"/>
    <n v="4606"/>
    <n v="8501"/>
    <n v="132315"/>
    <n v="273"/>
    <n v="38"/>
    <n v="64"/>
    <n v="11022"/>
    <n v="446045"/>
    <n v="4678"/>
    <n v="13609"/>
    <n v="2961"/>
    <n v="2347"/>
    <n v="12207"/>
    <n v="5515"/>
    <n v="2750"/>
    <n v="3267"/>
    <n v="2879"/>
    <n v="13107"/>
    <n v="282480364.50000006"/>
    <n v="737"/>
    <n v="2084"/>
    <n v="9912"/>
    <n v="530"/>
    <n v="977"/>
    <n v="1098"/>
    <n v="306"/>
    <n v="189"/>
    <n v="755"/>
    <m/>
    <m/>
    <m/>
    <m/>
    <m/>
    <m/>
    <m/>
    <m/>
    <m/>
    <m/>
    <m/>
    <m/>
    <m/>
    <m/>
    <m/>
    <m/>
  </r>
  <r>
    <x v="0"/>
    <n v="15"/>
    <s v="MEX"/>
    <x v="14"/>
    <s v="2021-2022"/>
    <x v="1"/>
    <n v="48029"/>
    <n v="18271"/>
    <n v="29758"/>
    <n v="280953"/>
    <n v="792"/>
    <n v="188"/>
    <n v="205"/>
    <n v="43041"/>
    <n v="887753"/>
    <n v="18288"/>
    <n v="47010"/>
    <n v="10832"/>
    <n v="4334"/>
    <n v="43239"/>
    <n v="18922"/>
    <n v="10186"/>
    <n v="9977"/>
    <n v="6508"/>
    <n v="48029"/>
    <n v="822953049.16999996"/>
    <n v="2092"/>
    <n v="4445"/>
    <n v="6191"/>
    <n v="1137"/>
    <n v="1057"/>
    <n v="1231"/>
    <n v="2732"/>
    <n v="1171"/>
    <n v="1007"/>
    <m/>
    <m/>
    <m/>
    <m/>
    <m/>
    <m/>
    <m/>
    <m/>
    <m/>
    <m/>
    <m/>
    <m/>
    <m/>
    <m/>
    <m/>
    <m/>
  </r>
  <r>
    <x v="0"/>
    <n v="16"/>
    <s v="MICH"/>
    <x v="15"/>
    <s v="2021-2022"/>
    <x v="1"/>
    <n v="10545"/>
    <n v="4133"/>
    <n v="6412"/>
    <n v="69477"/>
    <n v="244"/>
    <n v="53"/>
    <n v="66"/>
    <n v="9223"/>
    <n v="260389"/>
    <n v="4562"/>
    <n v="11062"/>
    <n v="2470"/>
    <n v="655"/>
    <n v="9357"/>
    <n v="4376"/>
    <n v="2325"/>
    <n v="2596"/>
    <n v="2292"/>
    <n v="10545"/>
    <n v="213395957.60999998"/>
    <n v="439"/>
    <n v="1204"/>
    <n v="495"/>
    <n v="284"/>
    <n v="259"/>
    <n v="266"/>
    <n v="6080"/>
    <n v="4994"/>
    <m/>
    <m/>
    <m/>
    <m/>
    <m/>
    <m/>
    <m/>
    <m/>
    <m/>
    <m/>
    <m/>
    <m/>
    <m/>
    <m/>
    <m/>
    <m/>
    <m/>
  </r>
  <r>
    <x v="0"/>
    <n v="17"/>
    <s v="MOR"/>
    <x v="16"/>
    <s v="2021-2022"/>
    <x v="1"/>
    <n v="4277"/>
    <n v="1854"/>
    <n v="2423"/>
    <n v="31224"/>
    <n v="74"/>
    <n v="17"/>
    <n v="13"/>
    <n v="3796"/>
    <n v="102796"/>
    <n v="2152"/>
    <n v="4340"/>
    <n v="932"/>
    <n v="809"/>
    <n v="3643"/>
    <n v="1846"/>
    <n v="854"/>
    <n v="981"/>
    <n v="855"/>
    <n v="4277"/>
    <n v="78374947.460000008"/>
    <n v="235"/>
    <n v="532"/>
    <n v="1414"/>
    <n v="64"/>
    <n v="167"/>
    <n v="184"/>
    <n v="991"/>
    <n v="991"/>
    <m/>
    <m/>
    <m/>
    <m/>
    <m/>
    <m/>
    <m/>
    <m/>
    <m/>
    <m/>
    <m/>
    <m/>
    <m/>
    <m/>
    <m/>
    <m/>
    <m/>
  </r>
  <r>
    <x v="0"/>
    <n v="18"/>
    <s v="NAY"/>
    <x v="17"/>
    <s v="2021-2022"/>
    <x v="1"/>
    <n v="2949"/>
    <n v="1280"/>
    <n v="1669"/>
    <n v="19826"/>
    <n v="59"/>
    <n v="10"/>
    <n v="14"/>
    <n v="2794"/>
    <n v="68627"/>
    <n v="1443"/>
    <n v="2894"/>
    <n v="464"/>
    <n v="982"/>
    <n v="2409"/>
    <n v="1114"/>
    <n v="433"/>
    <n v="568"/>
    <n v="339"/>
    <n v="2949"/>
    <n v="56027295.090000004"/>
    <n v="132"/>
    <n v="361"/>
    <n v="2448"/>
    <n v="11"/>
    <n v="28"/>
    <n v="28"/>
    <n v="0"/>
    <n v="0"/>
    <m/>
    <m/>
    <m/>
    <m/>
    <m/>
    <m/>
    <m/>
    <m/>
    <m/>
    <m/>
    <m/>
    <m/>
    <m/>
    <m/>
    <m/>
    <m/>
    <m/>
  </r>
  <r>
    <x v="0"/>
    <n v="19"/>
    <s v="NL"/>
    <x v="18"/>
    <s v="2021-2022"/>
    <x v="1"/>
    <n v="23335"/>
    <n v="8841"/>
    <n v="14494"/>
    <n v="89094"/>
    <n v="298"/>
    <n v="78"/>
    <n v="81"/>
    <n v="19836"/>
    <n v="283595"/>
    <n v="10564"/>
    <n v="21963"/>
    <n v="5910"/>
    <n v="1888"/>
    <n v="21228"/>
    <n v="7840"/>
    <n v="5701"/>
    <n v="5889"/>
    <n v="5731"/>
    <n v="23335"/>
    <n v="287356729"/>
    <n v="1008"/>
    <n v="1549"/>
    <n v="39669"/>
    <n v="1274"/>
    <n v="1832"/>
    <n v="2037"/>
    <n v="94595"/>
    <n v="73570"/>
    <n v="384"/>
    <m/>
    <m/>
    <m/>
    <m/>
    <m/>
    <m/>
    <m/>
    <m/>
    <m/>
    <m/>
    <m/>
    <m/>
    <m/>
    <m/>
    <m/>
    <m/>
  </r>
  <r>
    <x v="1"/>
    <n v="20"/>
    <s v="OAX"/>
    <x v="19"/>
    <s v="2021-2022"/>
    <x v="1"/>
    <n v="5832"/>
    <n v="2203"/>
    <n v="3629"/>
    <n v="71849"/>
    <n v="121"/>
    <n v="24"/>
    <n v="31"/>
    <n v="4972"/>
    <n v="229797"/>
    <n v="2633"/>
    <n v="6354"/>
    <n v="1054"/>
    <n v="1793"/>
    <n v="5128"/>
    <n v="2220"/>
    <n v="1004"/>
    <n v="1223"/>
    <n v="611"/>
    <n v="5832"/>
    <n v="217167527.859029"/>
    <n v="395"/>
    <n v="637"/>
    <n v="571"/>
    <n v="4"/>
    <n v="3"/>
    <n v="22"/>
    <n v="67"/>
    <n v="67"/>
    <m/>
    <m/>
    <m/>
    <m/>
    <m/>
    <m/>
    <m/>
    <m/>
    <m/>
    <m/>
    <m/>
    <m/>
    <m/>
    <m/>
    <m/>
    <m/>
    <m/>
  </r>
  <r>
    <x v="0"/>
    <n v="21"/>
    <s v="PUE"/>
    <x v="20"/>
    <s v="2021-2022"/>
    <x v="1"/>
    <n v="7616"/>
    <n v="2960"/>
    <n v="4656"/>
    <n v="111386"/>
    <n v="153"/>
    <n v="41"/>
    <n v="39"/>
    <n v="6877"/>
    <n v="368029"/>
    <n v="3474"/>
    <n v="7329"/>
    <n v="1923"/>
    <n v="255"/>
    <n v="6814"/>
    <n v="2756"/>
    <n v="1850"/>
    <n v="1948"/>
    <n v="1693"/>
    <n v="7616"/>
    <n v="167926851.00999999"/>
    <n v="390"/>
    <n v="1005"/>
    <n v="381"/>
    <n v="203"/>
    <n v="88"/>
    <n v="91"/>
    <n v="1868"/>
    <n v="1369"/>
    <m/>
    <m/>
    <m/>
    <m/>
    <m/>
    <m/>
    <m/>
    <m/>
    <m/>
    <m/>
    <m/>
    <m/>
    <m/>
    <m/>
    <m/>
    <m/>
    <m/>
  </r>
  <r>
    <x v="0"/>
    <n v="22"/>
    <s v="QRO"/>
    <x v="21"/>
    <s v="2021-2022"/>
    <x v="1"/>
    <n v="3548"/>
    <n v="1603"/>
    <n v="1945"/>
    <n v="37075"/>
    <n v="68"/>
    <n v="23"/>
    <n v="26"/>
    <n v="3268"/>
    <n v="120618"/>
    <n v="2309"/>
    <n v="3502"/>
    <n v="725"/>
    <n v="787"/>
    <n v="2897"/>
    <n v="1380"/>
    <n v="709"/>
    <n v="883"/>
    <n v="865"/>
    <n v="3548"/>
    <n v="68624849"/>
    <n v="232"/>
    <n v="449"/>
    <n v="205"/>
    <n v="41"/>
    <n v="139"/>
    <n v="162"/>
    <n v="16"/>
    <n v="10"/>
    <m/>
    <m/>
    <m/>
    <m/>
    <m/>
    <m/>
    <m/>
    <m/>
    <m/>
    <m/>
    <m/>
    <m/>
    <m/>
    <m/>
    <m/>
    <m/>
    <m/>
  </r>
  <r>
    <x v="0"/>
    <n v="23"/>
    <s v="QROO"/>
    <x v="22"/>
    <s v="2021-2022"/>
    <x v="1"/>
    <n v="9384"/>
    <n v="3535"/>
    <n v="5849"/>
    <n v="28166"/>
    <n v="113"/>
    <n v="14"/>
    <n v="27"/>
    <n v="8408"/>
    <n v="89680"/>
    <n v="3727"/>
    <n v="8623"/>
    <n v="2092"/>
    <n v="1124"/>
    <n v="8252"/>
    <n v="3139"/>
    <n v="2052"/>
    <n v="2199"/>
    <n v="1966"/>
    <n v="9384"/>
    <n v="107467606.17"/>
    <n v="406"/>
    <n v="771"/>
    <n v="6838"/>
    <n v="63"/>
    <n v="13"/>
    <n v="61"/>
    <n v="367"/>
    <n v="119"/>
    <m/>
    <m/>
    <m/>
    <m/>
    <m/>
    <m/>
    <m/>
    <m/>
    <m/>
    <m/>
    <m/>
    <m/>
    <m/>
    <m/>
    <m/>
    <m/>
    <m/>
  </r>
  <r>
    <x v="0"/>
    <n v="24"/>
    <s v="SLP"/>
    <x v="23"/>
    <s v="2021-2022"/>
    <x v="1"/>
    <n v="4786"/>
    <n v="1842"/>
    <n v="2944"/>
    <n v="46971"/>
    <n v="98"/>
    <n v="26"/>
    <n v="25"/>
    <n v="4318"/>
    <n v="155782"/>
    <n v="2087"/>
    <n v="4774"/>
    <n v="1131"/>
    <n v="1127"/>
    <n v="4286"/>
    <n v="1930"/>
    <n v="1099"/>
    <n v="1483"/>
    <n v="1422"/>
    <n v="4786"/>
    <n v="95196960.980000004"/>
    <n v="234"/>
    <n v="427"/>
    <n v="1169"/>
    <n v="193"/>
    <n v="701"/>
    <n v="702"/>
    <n v="285"/>
    <n v="153"/>
    <m/>
    <m/>
    <m/>
    <m/>
    <m/>
    <m/>
    <m/>
    <m/>
    <m/>
    <m/>
    <m/>
    <m/>
    <m/>
    <m/>
    <m/>
    <m/>
    <m/>
  </r>
  <r>
    <x v="0"/>
    <n v="25"/>
    <s v="SIN"/>
    <x v="24"/>
    <s v="2021-2022"/>
    <x v="1"/>
    <n v="7922"/>
    <n v="2930"/>
    <n v="4992"/>
    <n v="48285"/>
    <n v="236"/>
    <n v="72"/>
    <n v="40"/>
    <n v="7167"/>
    <n v="165565"/>
    <n v="3135"/>
    <n v="8184"/>
    <n v="2057"/>
    <n v="1583"/>
    <n v="7385"/>
    <n v="3373"/>
    <n v="1961"/>
    <n v="2478"/>
    <n v="2471"/>
    <n v="7922"/>
    <n v="299164453"/>
    <n v="482"/>
    <n v="1117"/>
    <n v="190"/>
    <n v="246"/>
    <n v="157"/>
    <n v="283"/>
    <n v="0"/>
    <n v="0"/>
    <m/>
    <m/>
    <m/>
    <m/>
    <m/>
    <m/>
    <m/>
    <m/>
    <m/>
    <m/>
    <m/>
    <m/>
    <m/>
    <m/>
    <m/>
    <m/>
    <m/>
  </r>
  <r>
    <x v="0"/>
    <n v="26"/>
    <s v="SON"/>
    <x v="25"/>
    <s v="2021-2022"/>
    <x v="1"/>
    <n v="15407"/>
    <n v="5630"/>
    <n v="9777"/>
    <n v="48473"/>
    <n v="266"/>
    <n v="49"/>
    <n v="45"/>
    <n v="13850"/>
    <n v="160673"/>
    <n v="5655"/>
    <n v="15455"/>
    <n v="3082"/>
    <n v="4215"/>
    <n v="13992"/>
    <n v="5940"/>
    <n v="2909"/>
    <n v="3099"/>
    <n v="1844"/>
    <n v="15407"/>
    <n v="248294291.78"/>
    <n v="552"/>
    <n v="857"/>
    <n v="943"/>
    <n v="99"/>
    <n v="42"/>
    <n v="50"/>
    <n v="11"/>
    <n v="11"/>
    <m/>
    <m/>
    <m/>
    <m/>
    <m/>
    <m/>
    <m/>
    <m/>
    <m/>
    <m/>
    <m/>
    <m/>
    <m/>
    <m/>
    <m/>
    <m/>
    <m/>
  </r>
  <r>
    <x v="0"/>
    <n v="27"/>
    <s v="TAB"/>
    <x v="26"/>
    <s v="2021-2022"/>
    <x v="1"/>
    <n v="5431"/>
    <n v="2038"/>
    <n v="3393"/>
    <n v="43745"/>
    <n v="90"/>
    <n v="27"/>
    <n v="21"/>
    <n v="4981"/>
    <n v="134923"/>
    <n v="2039"/>
    <n v="5252"/>
    <n v="1404"/>
    <n v="288"/>
    <n v="4943"/>
    <n v="2062"/>
    <n v="1356"/>
    <n v="1487"/>
    <n v="1462"/>
    <n v="5431"/>
    <n v="125298553.3"/>
    <n v="295"/>
    <n v="484"/>
    <n v="27"/>
    <n v="19"/>
    <n v="88"/>
    <n v="110"/>
    <n v="53"/>
    <n v="53"/>
    <m/>
    <m/>
    <m/>
    <m/>
    <m/>
    <m/>
    <m/>
    <m/>
    <m/>
    <m/>
    <m/>
    <m/>
    <m/>
    <m/>
    <m/>
    <m/>
    <m/>
  </r>
  <r>
    <x v="0"/>
    <n v="28"/>
    <s v="TAMPS"/>
    <x v="27"/>
    <s v="2021-2022"/>
    <x v="1"/>
    <n v="6916"/>
    <n v="2568"/>
    <n v="4348"/>
    <n v="55743"/>
    <n v="164"/>
    <n v="29"/>
    <n v="43"/>
    <n v="6422"/>
    <n v="188646"/>
    <n v="2764"/>
    <n v="7597"/>
    <n v="1875"/>
    <n v="849"/>
    <n v="6748"/>
    <n v="3183"/>
    <n v="1780"/>
    <n v="1904"/>
    <n v="1898"/>
    <n v="6916"/>
    <n v="190490914.06"/>
    <n v="368"/>
    <n v="1077"/>
    <n v="2941"/>
    <n v="96"/>
    <n v="95"/>
    <n v="103"/>
    <n v="47"/>
    <n v="47"/>
    <n v="22"/>
    <m/>
    <m/>
    <m/>
    <m/>
    <m/>
    <m/>
    <m/>
    <m/>
    <m/>
    <m/>
    <m/>
    <m/>
    <m/>
    <m/>
    <m/>
    <m/>
  </r>
  <r>
    <x v="0"/>
    <n v="29"/>
    <s v="TLAX"/>
    <x v="28"/>
    <s v="2021-2022"/>
    <x v="1"/>
    <n v="3146"/>
    <n v="1121"/>
    <n v="2025"/>
    <n v="24231"/>
    <n v="49"/>
    <n v="18"/>
    <n v="15"/>
    <n v="2953"/>
    <n v="74880"/>
    <n v="1206"/>
    <n v="3179"/>
    <n v="789"/>
    <n v="328"/>
    <n v="2908"/>
    <n v="1170"/>
    <n v="765"/>
    <n v="855"/>
    <n v="820"/>
    <n v="3146"/>
    <n v="48788326"/>
    <n v="180"/>
    <n v="455"/>
    <n v="0"/>
    <n v="126"/>
    <n v="17"/>
    <n v="20"/>
    <n v="7"/>
    <n v="0"/>
    <m/>
    <m/>
    <m/>
    <m/>
    <m/>
    <m/>
    <m/>
    <m/>
    <m/>
    <m/>
    <m/>
    <m/>
    <m/>
    <m/>
    <m/>
    <m/>
    <m/>
  </r>
  <r>
    <x v="0"/>
    <n v="30"/>
    <s v="VER"/>
    <x v="29"/>
    <s v="2021-2022"/>
    <x v="1"/>
    <n v="11461"/>
    <n v="4401"/>
    <n v="7060"/>
    <n v="119949"/>
    <n v="172"/>
    <n v="44"/>
    <n v="74"/>
    <n v="10631"/>
    <n v="432659"/>
    <n v="5251"/>
    <n v="10340"/>
    <n v="2477"/>
    <n v="1205"/>
    <n v="9959"/>
    <n v="3279"/>
    <n v="2432"/>
    <n v="2333"/>
    <n v="2161"/>
    <n v="11461"/>
    <n v="263259835"/>
    <n v="565"/>
    <n v="1543"/>
    <n v="4605"/>
    <n v="31"/>
    <n v="69"/>
    <n v="79"/>
    <n v="435"/>
    <n v="424"/>
    <n v="396"/>
    <m/>
    <m/>
    <m/>
    <m/>
    <m/>
    <m/>
    <m/>
    <m/>
    <m/>
    <m/>
    <m/>
    <m/>
    <m/>
    <m/>
    <m/>
    <m/>
  </r>
  <r>
    <x v="0"/>
    <n v="31"/>
    <s v="YUC"/>
    <x v="30"/>
    <s v="2021-2022"/>
    <x v="1"/>
    <n v="5289"/>
    <n v="1994"/>
    <n v="3295"/>
    <n v="34755"/>
    <n v="69"/>
    <n v="14"/>
    <n v="18"/>
    <n v="4281"/>
    <n v="114433"/>
    <n v="2180"/>
    <n v="5397"/>
    <n v="973"/>
    <n v="1559"/>
    <n v="4646"/>
    <n v="1915"/>
    <n v="929"/>
    <n v="1234"/>
    <n v="998"/>
    <n v="5289"/>
    <n v="125424372"/>
    <n v="264"/>
    <n v="484"/>
    <n v="4243"/>
    <n v="205"/>
    <n v="153"/>
    <n v="261"/>
    <n v="837"/>
    <n v="812"/>
    <m/>
    <m/>
    <m/>
    <m/>
    <m/>
    <m/>
    <m/>
    <m/>
    <m/>
    <m/>
    <m/>
    <m/>
    <m/>
    <m/>
    <m/>
    <m/>
    <m/>
  </r>
  <r>
    <x v="0"/>
    <n v="32"/>
    <s v="ZAC"/>
    <x v="31"/>
    <s v="2021-2022"/>
    <x v="1"/>
    <n v="1419"/>
    <n v="656"/>
    <n v="763"/>
    <n v="27155"/>
    <n v="60"/>
    <n v="21"/>
    <n v="7"/>
    <n v="1162"/>
    <n v="91049"/>
    <n v="719"/>
    <n v="1312"/>
    <n v="249"/>
    <n v="403"/>
    <n v="1067"/>
    <n v="619"/>
    <n v="223"/>
    <n v="290"/>
    <n v="284"/>
    <n v="1419"/>
    <n v="52455567"/>
    <n v="79"/>
    <n v="197"/>
    <n v="452"/>
    <n v="129"/>
    <n v="61"/>
    <n v="61"/>
    <n v="0"/>
    <n v="0"/>
    <m/>
    <m/>
    <m/>
    <m/>
    <m/>
    <m/>
    <m/>
    <m/>
    <m/>
    <m/>
    <m/>
    <m/>
    <m/>
    <m/>
    <m/>
    <m/>
    <m/>
  </r>
  <r>
    <x v="2"/>
    <n v="33"/>
    <s v="OTRO"/>
    <x v="32"/>
    <s v="2021-2022"/>
    <x v="1"/>
    <m/>
    <m/>
    <m/>
    <m/>
    <m/>
    <m/>
    <m/>
    <m/>
    <m/>
    <m/>
    <m/>
    <m/>
    <m/>
    <m/>
    <m/>
    <m/>
    <m/>
    <m/>
    <m/>
    <m/>
    <m/>
    <m/>
    <m/>
    <m/>
    <m/>
    <m/>
    <n v="448"/>
    <n v="443"/>
    <m/>
    <m/>
    <m/>
    <m/>
    <m/>
    <m/>
    <m/>
    <m/>
    <m/>
    <m/>
    <m/>
    <m/>
    <m/>
    <m/>
    <m/>
    <m/>
    <m/>
  </r>
  <r>
    <x v="1"/>
    <n v="0"/>
    <s v="ON"/>
    <x v="33"/>
    <s v="2021-2022"/>
    <x v="1"/>
    <m/>
    <m/>
    <m/>
    <m/>
    <m/>
    <m/>
    <m/>
    <m/>
    <m/>
    <m/>
    <m/>
    <m/>
    <m/>
    <m/>
    <m/>
    <m/>
    <m/>
    <m/>
    <m/>
    <m/>
    <m/>
    <m/>
    <n v="769"/>
    <m/>
    <m/>
    <m/>
    <n v="2785"/>
    <n v="2773"/>
    <m/>
    <n v="461057.18076000002"/>
    <n v="1569932.3870000001"/>
    <n v="1597687.4310000001"/>
    <n v="1609932.3870000001"/>
    <n v="1569932.3870000001"/>
    <n v="1569932.3870000001"/>
    <n v="1597687.4310000001"/>
    <n v="1609932.3870000001"/>
    <n v="0"/>
    <n v="0"/>
    <n v="27755.044000000002"/>
    <n v="1597687.4310000001"/>
    <n v="27668.057000000001"/>
    <n v="40000"/>
    <n v="1422248.821"/>
    <n v="1457643.3670000001"/>
  </r>
  <r>
    <x v="0"/>
    <n v="1"/>
    <s v="AGS"/>
    <x v="0"/>
    <s v="2012-2013"/>
    <x v="2"/>
    <n v="4876"/>
    <n v="1859"/>
    <n v="3017"/>
    <n v="20398"/>
    <n v="60"/>
    <n v="14"/>
    <n v="14"/>
    <n v="4112"/>
    <n v="74697.646290988239"/>
    <n v="4668"/>
    <n v="4767"/>
    <n v="1103"/>
    <m/>
    <m/>
    <n v="1624"/>
    <n v="963"/>
    <n v="944"/>
    <n v="909"/>
    <n v="4876"/>
    <n v="48953729"/>
    <n v="288"/>
    <n v="403"/>
    <n v="6562"/>
    <n v="164"/>
    <m/>
    <m/>
    <m/>
    <m/>
    <m/>
    <m/>
    <m/>
    <m/>
    <m/>
    <m/>
    <m/>
    <m/>
    <m/>
    <m/>
    <m/>
    <m/>
    <m/>
    <m/>
    <m/>
    <m/>
    <m/>
  </r>
  <r>
    <x v="0"/>
    <n v="2"/>
    <s v="BC"/>
    <x v="1"/>
    <s v="2012-2013"/>
    <x v="2"/>
    <n v="8368"/>
    <n v="3424"/>
    <n v="4944"/>
    <n v="49802"/>
    <n v="119"/>
    <n v="21"/>
    <n v="25"/>
    <n v="6792"/>
    <n v="192090.84815481934"/>
    <n v="4392"/>
    <n v="8361"/>
    <n v="1726"/>
    <m/>
    <m/>
    <n v="3324"/>
    <n v="1526"/>
    <n v="1452"/>
    <n v="1402"/>
    <n v="8368"/>
    <n v="107428039"/>
    <n v="404"/>
    <n v="696"/>
    <n v="20418"/>
    <n v="6"/>
    <m/>
    <m/>
    <m/>
    <m/>
    <n v="2528"/>
    <m/>
    <m/>
    <m/>
    <m/>
    <m/>
    <m/>
    <m/>
    <m/>
    <m/>
    <m/>
    <m/>
    <m/>
    <m/>
    <m/>
    <m/>
    <m/>
  </r>
  <r>
    <x v="0"/>
    <n v="3"/>
    <s v="BCS"/>
    <x v="2"/>
    <s v="2012-2013"/>
    <x v="2"/>
    <n v="1902"/>
    <n v="858"/>
    <n v="1044"/>
    <n v="10312"/>
    <n v="29"/>
    <n v="5"/>
    <n v="2"/>
    <n v="1482"/>
    <n v="37800.625728817657"/>
    <n v="1173"/>
    <n v="1691"/>
    <n v="450"/>
    <m/>
    <m/>
    <n v="813"/>
    <n v="420"/>
    <n v="361"/>
    <n v="337"/>
    <n v="1902"/>
    <n v="26873657"/>
    <n v="86"/>
    <n v="217"/>
    <n v="3026"/>
    <n v="0"/>
    <m/>
    <m/>
    <m/>
    <m/>
    <m/>
    <m/>
    <m/>
    <m/>
    <m/>
    <m/>
    <m/>
    <m/>
    <m/>
    <m/>
    <m/>
    <m/>
    <m/>
    <m/>
    <m/>
    <m/>
    <m/>
  </r>
  <r>
    <x v="0"/>
    <n v="4"/>
    <s v="CAMP"/>
    <x v="3"/>
    <s v="2012-2013"/>
    <x v="2"/>
    <n v="1864"/>
    <n v="802"/>
    <n v="1062"/>
    <n v="12415"/>
    <n v="37"/>
    <n v="8"/>
    <n v="14"/>
    <n v="1334"/>
    <n v="49910.405898190787"/>
    <n v="1018"/>
    <n v="1773"/>
    <n v="323"/>
    <m/>
    <m/>
    <n v="701"/>
    <n v="274"/>
    <n v="268"/>
    <n v="256"/>
    <n v="1864"/>
    <n v="32707759"/>
    <n v="113"/>
    <n v="264"/>
    <n v="2301"/>
    <n v="68"/>
    <m/>
    <m/>
    <m/>
    <m/>
    <m/>
    <m/>
    <m/>
    <m/>
    <m/>
    <m/>
    <m/>
    <m/>
    <m/>
    <m/>
    <m/>
    <m/>
    <m/>
    <m/>
    <m/>
    <m/>
    <m/>
  </r>
  <r>
    <x v="0"/>
    <n v="7"/>
    <s v="CHIAP"/>
    <x v="4"/>
    <s v="2012-2013"/>
    <x v="2"/>
    <n v="7730"/>
    <n v="2882"/>
    <n v="4848"/>
    <n v="85110"/>
    <n v="118"/>
    <n v="16"/>
    <n v="42"/>
    <n v="5618"/>
    <n v="336550.24744312256"/>
    <n v="4214"/>
    <n v="7326"/>
    <n v="1395"/>
    <m/>
    <m/>
    <n v="2390"/>
    <n v="1305"/>
    <n v="1230"/>
    <n v="1169"/>
    <n v="7730"/>
    <n v="122421262"/>
    <n v="479"/>
    <n v="666"/>
    <n v="5593"/>
    <n v="0"/>
    <m/>
    <m/>
    <m/>
    <m/>
    <m/>
    <m/>
    <m/>
    <m/>
    <m/>
    <m/>
    <m/>
    <m/>
    <m/>
    <m/>
    <m/>
    <m/>
    <m/>
    <m/>
    <m/>
    <m/>
    <m/>
  </r>
  <r>
    <x v="0"/>
    <n v="8"/>
    <s v="CHIH"/>
    <x v="5"/>
    <s v="2012-2013"/>
    <x v="2"/>
    <n v="9183"/>
    <n v="4195"/>
    <n v="4988"/>
    <n v="50851"/>
    <n v="136"/>
    <n v="20"/>
    <n v="36"/>
    <n v="7611"/>
    <n v="201025.68902505681"/>
    <n v="5056"/>
    <n v="8606"/>
    <n v="1685"/>
    <m/>
    <m/>
    <n v="3172"/>
    <n v="1499"/>
    <n v="1626"/>
    <n v="1561"/>
    <n v="9183"/>
    <n v="117528205"/>
    <n v="573"/>
    <n v="866"/>
    <n v="17438"/>
    <n v="429"/>
    <m/>
    <m/>
    <m/>
    <m/>
    <n v="1190"/>
    <m/>
    <m/>
    <m/>
    <m/>
    <m/>
    <m/>
    <m/>
    <m/>
    <m/>
    <m/>
    <m/>
    <m/>
    <m/>
    <m/>
    <m/>
    <m/>
  </r>
  <r>
    <x v="1"/>
    <n v="9"/>
    <s v="CDMX"/>
    <x v="6"/>
    <s v="2012-2013"/>
    <x v="2"/>
    <n v="43673"/>
    <n v="17932"/>
    <n v="25741"/>
    <n v="130411"/>
    <n v="537"/>
    <n v="95"/>
    <n v="175"/>
    <n v="32353"/>
    <n v="423138.95799915184"/>
    <n v="23573"/>
    <n v="44765"/>
    <n v="8530"/>
    <m/>
    <m/>
    <n v="19638"/>
    <n v="7474"/>
    <n v="7037"/>
    <n v="4977"/>
    <m/>
    <m/>
    <n v="2203"/>
    <n v="3057"/>
    <n v="22808"/>
    <n v="201"/>
    <m/>
    <m/>
    <m/>
    <m/>
    <m/>
    <m/>
    <m/>
    <m/>
    <m/>
    <m/>
    <m/>
    <m/>
    <m/>
    <m/>
    <m/>
    <m/>
    <m/>
    <m/>
    <m/>
    <m/>
    <m/>
  </r>
  <r>
    <x v="0"/>
    <n v="5"/>
    <s v="COAH"/>
    <x v="7"/>
    <s v="2012-2013"/>
    <x v="2"/>
    <n v="8071"/>
    <n v="3210"/>
    <n v="4861"/>
    <n v="40260"/>
    <n v="133"/>
    <n v="31"/>
    <n v="42"/>
    <n v="7126"/>
    <n v="162290.780422715"/>
    <n v="5111"/>
    <n v="7911"/>
    <n v="1734"/>
    <m/>
    <m/>
    <n v="3118"/>
    <n v="1594"/>
    <n v="1643"/>
    <n v="1635"/>
    <n v="8071"/>
    <n v="116866888"/>
    <n v="438"/>
    <n v="774"/>
    <n v="13884"/>
    <n v="104"/>
    <m/>
    <m/>
    <m/>
    <m/>
    <m/>
    <m/>
    <m/>
    <m/>
    <m/>
    <m/>
    <m/>
    <m/>
    <m/>
    <m/>
    <m/>
    <m/>
    <m/>
    <m/>
    <m/>
    <m/>
    <m/>
  </r>
  <r>
    <x v="0"/>
    <n v="6"/>
    <s v="COL"/>
    <x v="8"/>
    <s v="2012-2013"/>
    <x v="2"/>
    <n v="1864"/>
    <n v="837"/>
    <n v="1027"/>
    <n v="9463"/>
    <n v="33"/>
    <n v="5"/>
    <n v="10"/>
    <n v="1145"/>
    <n v="37652.050005981437"/>
    <n v="1083"/>
    <n v="1765"/>
    <n v="324"/>
    <m/>
    <m/>
    <n v="659"/>
    <n v="299"/>
    <n v="239"/>
    <n v="211"/>
    <n v="1864"/>
    <n v="33361684"/>
    <n v="131"/>
    <n v="258"/>
    <n v="4285"/>
    <n v="25"/>
    <m/>
    <m/>
    <m/>
    <m/>
    <m/>
    <m/>
    <m/>
    <m/>
    <m/>
    <m/>
    <m/>
    <m/>
    <m/>
    <m/>
    <m/>
    <m/>
    <m/>
    <m/>
    <m/>
    <m/>
    <m/>
  </r>
  <r>
    <x v="0"/>
    <n v="10"/>
    <s v="DGO"/>
    <x v="9"/>
    <s v="2012-2013"/>
    <x v="2"/>
    <n v="2386"/>
    <n v="1103"/>
    <n v="1283"/>
    <n v="26707"/>
    <n v="46"/>
    <n v="14"/>
    <n v="12"/>
    <n v="1984"/>
    <n v="103877.16130392933"/>
    <n v="1409"/>
    <n v="2350"/>
    <n v="420"/>
    <m/>
    <m/>
    <n v="1057"/>
    <n v="389"/>
    <n v="414"/>
    <n v="346"/>
    <n v="2386"/>
    <n v="31954556"/>
    <n v="163"/>
    <n v="254"/>
    <n v="9014"/>
    <n v="63"/>
    <m/>
    <m/>
    <m/>
    <m/>
    <m/>
    <m/>
    <m/>
    <m/>
    <m/>
    <m/>
    <m/>
    <m/>
    <m/>
    <m/>
    <m/>
    <m/>
    <m/>
    <m/>
    <m/>
    <m/>
    <m/>
  </r>
  <r>
    <x v="0"/>
    <n v="11"/>
    <s v="GTO"/>
    <x v="10"/>
    <s v="2012-2013"/>
    <x v="2"/>
    <n v="16619"/>
    <n v="6715"/>
    <n v="9904"/>
    <n v="90823"/>
    <n v="218"/>
    <n v="51"/>
    <n v="74"/>
    <n v="14073"/>
    <n v="350740.06544113893"/>
    <n v="10612"/>
    <n v="15961"/>
    <n v="3801"/>
    <m/>
    <m/>
    <n v="5966"/>
    <n v="3545"/>
    <n v="3234"/>
    <n v="3066"/>
    <n v="16619"/>
    <n v="186737077"/>
    <n v="942"/>
    <n v="1787"/>
    <n v="33636"/>
    <n v="233"/>
    <m/>
    <m/>
    <m/>
    <m/>
    <n v="9342"/>
    <m/>
    <m/>
    <m/>
    <m/>
    <m/>
    <m/>
    <m/>
    <m/>
    <m/>
    <m/>
    <m/>
    <m/>
    <m/>
    <m/>
    <m/>
    <m/>
  </r>
  <r>
    <x v="0"/>
    <n v="12"/>
    <s v="GRO"/>
    <x v="11"/>
    <s v="2012-2013"/>
    <x v="2"/>
    <n v="7047"/>
    <n v="2844"/>
    <n v="4203"/>
    <n v="59586"/>
    <n v="117"/>
    <n v="30"/>
    <n v="38"/>
    <n v="5657"/>
    <n v="229727.1363150301"/>
    <n v="4087"/>
    <n v="7093"/>
    <n v="1393"/>
    <m/>
    <m/>
    <n v="2925"/>
    <n v="1318"/>
    <n v="881"/>
    <n v="733"/>
    <n v="7047"/>
    <n v="101478941"/>
    <n v="334"/>
    <n v="509"/>
    <n v="4454"/>
    <n v="99"/>
    <m/>
    <m/>
    <m/>
    <m/>
    <m/>
    <m/>
    <m/>
    <m/>
    <m/>
    <m/>
    <m/>
    <m/>
    <m/>
    <m/>
    <m/>
    <m/>
    <m/>
    <m/>
    <m/>
    <m/>
    <m/>
  </r>
  <r>
    <x v="0"/>
    <n v="13"/>
    <s v="HGO"/>
    <x v="12"/>
    <s v="2012-2013"/>
    <x v="2"/>
    <n v="3690"/>
    <n v="1523"/>
    <n v="2167"/>
    <n v="47292"/>
    <n v="60"/>
    <n v="28"/>
    <n v="23"/>
    <n v="2872"/>
    <n v="160589.72081369814"/>
    <n v="1954"/>
    <n v="3694"/>
    <n v="787"/>
    <m/>
    <m/>
    <n v="1668"/>
    <n v="719"/>
    <n v="750"/>
    <n v="744"/>
    <n v="3690"/>
    <n v="49863435"/>
    <n v="217"/>
    <n v="347"/>
    <n v="2326"/>
    <n v="86"/>
    <m/>
    <m/>
    <m/>
    <m/>
    <m/>
    <m/>
    <m/>
    <m/>
    <m/>
    <m/>
    <m/>
    <m/>
    <m/>
    <m/>
    <m/>
    <m/>
    <m/>
    <m/>
    <m/>
    <m/>
    <m/>
  </r>
  <r>
    <x v="0"/>
    <n v="14"/>
    <s v="JAL"/>
    <x v="13"/>
    <s v="2012-2013"/>
    <x v="2"/>
    <n v="15407"/>
    <n v="6114"/>
    <n v="9293"/>
    <n v="106909"/>
    <n v="249"/>
    <n v="37"/>
    <n v="70"/>
    <n v="11805"/>
    <n v="435752.90556573274"/>
    <n v="10075"/>
    <n v="15218"/>
    <n v="3332"/>
    <m/>
    <m/>
    <n v="5916"/>
    <n v="2987"/>
    <n v="3123"/>
    <n v="3033"/>
    <n v="15407"/>
    <n v="201017410"/>
    <n v="885"/>
    <n v="1888"/>
    <n v="34114"/>
    <n v="580"/>
    <m/>
    <m/>
    <m/>
    <m/>
    <n v="479"/>
    <m/>
    <m/>
    <m/>
    <m/>
    <m/>
    <m/>
    <m/>
    <m/>
    <m/>
    <m/>
    <m/>
    <m/>
    <m/>
    <m/>
    <m/>
    <m/>
  </r>
  <r>
    <x v="0"/>
    <n v="15"/>
    <s v="MEX"/>
    <x v="14"/>
    <s v="2012-2013"/>
    <x v="2"/>
    <n v="48217"/>
    <n v="19660"/>
    <n v="28557"/>
    <n v="242886"/>
    <n v="723"/>
    <n v="133"/>
    <n v="217"/>
    <n v="37457"/>
    <n v="905523.85712835006"/>
    <n v="25023"/>
    <n v="48565"/>
    <n v="10484"/>
    <m/>
    <m/>
    <n v="22509"/>
    <n v="9088"/>
    <n v="8630"/>
    <n v="6876"/>
    <n v="48217"/>
    <n v="592551256"/>
    <n v="2613"/>
    <n v="3996"/>
    <n v="44733"/>
    <n v="670"/>
    <m/>
    <m/>
    <m/>
    <m/>
    <n v="2000"/>
    <m/>
    <m/>
    <m/>
    <m/>
    <m/>
    <m/>
    <m/>
    <m/>
    <m/>
    <m/>
    <m/>
    <m/>
    <m/>
    <m/>
    <m/>
    <m/>
  </r>
  <r>
    <x v="0"/>
    <n v="16"/>
    <s v="MICH"/>
    <x v="15"/>
    <s v="2012-2013"/>
    <x v="2"/>
    <n v="12293"/>
    <n v="5099"/>
    <n v="7194"/>
    <n v="63423"/>
    <n v="237"/>
    <n v="48"/>
    <n v="62"/>
    <n v="9265"/>
    <n v="270428.32494369015"/>
    <n v="6739"/>
    <n v="12071"/>
    <n v="2619"/>
    <m/>
    <m/>
    <n v="4986"/>
    <n v="2285"/>
    <n v="2112"/>
    <n v="1958"/>
    <n v="12293"/>
    <n v="163225447"/>
    <n v="490"/>
    <n v="940"/>
    <n v="7708"/>
    <n v="150"/>
    <m/>
    <m/>
    <m/>
    <m/>
    <m/>
    <m/>
    <m/>
    <m/>
    <m/>
    <m/>
    <m/>
    <m/>
    <m/>
    <m/>
    <m/>
    <m/>
    <m/>
    <m/>
    <m/>
    <m/>
    <m/>
  </r>
  <r>
    <x v="0"/>
    <n v="17"/>
    <s v="MOR"/>
    <x v="16"/>
    <s v="2012-2013"/>
    <x v="2"/>
    <n v="5012"/>
    <n v="2002"/>
    <n v="3010"/>
    <n v="30555"/>
    <n v="60"/>
    <n v="17"/>
    <n v="12"/>
    <n v="4234"/>
    <n v="104617.93567797635"/>
    <n v="3222"/>
    <n v="5052"/>
    <n v="1155"/>
    <m/>
    <m/>
    <n v="2032"/>
    <n v="1059"/>
    <n v="962"/>
    <n v="809"/>
    <n v="5012"/>
    <n v="56023818"/>
    <n v="252"/>
    <n v="515"/>
    <n v="5342"/>
    <n v="8"/>
    <m/>
    <m/>
    <m/>
    <m/>
    <m/>
    <m/>
    <m/>
    <m/>
    <m/>
    <m/>
    <m/>
    <m/>
    <m/>
    <m/>
    <m/>
    <m/>
    <m/>
    <m/>
    <m/>
    <m/>
    <m/>
  </r>
  <r>
    <x v="0"/>
    <n v="18"/>
    <s v="NAY"/>
    <x v="17"/>
    <s v="2012-2013"/>
    <x v="2"/>
    <n v="3043"/>
    <n v="1267"/>
    <n v="1776"/>
    <n v="17116"/>
    <n v="35"/>
    <n v="7"/>
    <n v="7"/>
    <n v="2756"/>
    <n v="65043.64849579391"/>
    <n v="1645"/>
    <n v="3029"/>
    <n v="727"/>
    <m/>
    <m/>
    <n v="1259"/>
    <n v="692"/>
    <n v="504"/>
    <n v="488"/>
    <n v="3043"/>
    <n v="42086753"/>
    <n v="122"/>
    <n v="334"/>
    <n v="1997"/>
    <n v="1"/>
    <m/>
    <m/>
    <m/>
    <m/>
    <m/>
    <m/>
    <m/>
    <m/>
    <m/>
    <m/>
    <m/>
    <m/>
    <m/>
    <m/>
    <m/>
    <m/>
    <m/>
    <m/>
    <m/>
    <m/>
    <m/>
  </r>
  <r>
    <x v="0"/>
    <n v="19"/>
    <s v="NL"/>
    <x v="18"/>
    <s v="2012-2013"/>
    <x v="2"/>
    <n v="16396"/>
    <n v="7296"/>
    <n v="9100"/>
    <n v="71017"/>
    <n v="184"/>
    <n v="49"/>
    <n v="60"/>
    <n v="13599"/>
    <n v="256685.14683603484"/>
    <n v="9824"/>
    <n v="15337"/>
    <n v="3317"/>
    <m/>
    <m/>
    <n v="6548"/>
    <n v="3069"/>
    <n v="2744"/>
    <n v="2658"/>
    <n v="16396"/>
    <n v="163658445"/>
    <n v="880"/>
    <n v="1827"/>
    <n v="57312"/>
    <n v="1562"/>
    <m/>
    <m/>
    <m/>
    <m/>
    <n v="847"/>
    <m/>
    <m/>
    <m/>
    <m/>
    <m/>
    <m/>
    <m/>
    <m/>
    <m/>
    <m/>
    <m/>
    <m/>
    <m/>
    <m/>
    <m/>
    <m/>
  </r>
  <r>
    <x v="1"/>
    <n v="20"/>
    <s v="OAX"/>
    <x v="19"/>
    <s v="2012-2013"/>
    <x v="2"/>
    <n v="6750"/>
    <n v="2691"/>
    <n v="4059"/>
    <n v="64635"/>
    <n v="108"/>
    <n v="12"/>
    <n v="32"/>
    <n v="5279"/>
    <n v="244700.14959654724"/>
    <n v="3569"/>
    <n v="6489"/>
    <n v="1288"/>
    <m/>
    <m/>
    <n v="2520"/>
    <n v="1152"/>
    <n v="1231"/>
    <n v="1041"/>
    <m/>
    <m/>
    <n v="405"/>
    <n v="460"/>
    <n v="2163"/>
    <n v="10"/>
    <m/>
    <m/>
    <m/>
    <m/>
    <m/>
    <m/>
    <m/>
    <m/>
    <m/>
    <m/>
    <m/>
    <m/>
    <m/>
    <m/>
    <m/>
    <m/>
    <m/>
    <m/>
    <m/>
    <m/>
    <m/>
  </r>
  <r>
    <x v="0"/>
    <n v="21"/>
    <s v="PUE"/>
    <x v="20"/>
    <s v="2012-2013"/>
    <x v="2"/>
    <n v="7539"/>
    <n v="2816"/>
    <n v="4723"/>
    <n v="98190"/>
    <n v="144"/>
    <n v="39"/>
    <n v="55"/>
    <n v="6383"/>
    <n v="368172.44746360031"/>
    <n v="4459"/>
    <n v="7684"/>
    <n v="1841"/>
    <m/>
    <m/>
    <n v="3020"/>
    <n v="1621"/>
    <n v="1588"/>
    <n v="1530"/>
    <n v="7539"/>
    <n v="117736744"/>
    <n v="411"/>
    <n v="1035"/>
    <n v="9486"/>
    <n v="37"/>
    <m/>
    <m/>
    <m/>
    <m/>
    <m/>
    <m/>
    <m/>
    <m/>
    <m/>
    <m/>
    <m/>
    <m/>
    <m/>
    <m/>
    <m/>
    <m/>
    <m/>
    <m/>
    <m/>
    <m/>
    <m/>
  </r>
  <r>
    <x v="0"/>
    <n v="22"/>
    <s v="QRO"/>
    <x v="21"/>
    <s v="2012-2013"/>
    <x v="2"/>
    <n v="3014"/>
    <n v="1219"/>
    <n v="1795"/>
    <n v="28090"/>
    <n v="44"/>
    <n v="9"/>
    <n v="21"/>
    <n v="2530"/>
    <n v="113259.35666997568"/>
    <n v="2367"/>
    <n v="2914"/>
    <n v="682"/>
    <m/>
    <m/>
    <n v="1063"/>
    <n v="606"/>
    <n v="674"/>
    <n v="626"/>
    <n v="3014"/>
    <n v="36057782"/>
    <n v="235"/>
    <n v="283"/>
    <n v="6562"/>
    <n v="83"/>
    <m/>
    <m/>
    <m/>
    <m/>
    <m/>
    <m/>
    <m/>
    <m/>
    <m/>
    <m/>
    <m/>
    <m/>
    <m/>
    <m/>
    <m/>
    <m/>
    <m/>
    <m/>
    <m/>
    <m/>
    <m/>
  </r>
  <r>
    <x v="0"/>
    <n v="23"/>
    <s v="QROO"/>
    <x v="22"/>
    <s v="2012-2013"/>
    <x v="2"/>
    <n v="8685"/>
    <n v="3687"/>
    <n v="4998"/>
    <n v="22070"/>
    <n v="104"/>
    <n v="16"/>
    <n v="29"/>
    <n v="6630"/>
    <n v="79915.394881891494"/>
    <n v="4757"/>
    <n v="8310"/>
    <n v="2143"/>
    <m/>
    <m/>
    <n v="3615"/>
    <n v="1943"/>
    <n v="1543"/>
    <n v="1453"/>
    <n v="8685"/>
    <n v="79228139"/>
    <n v="424"/>
    <n v="704"/>
    <n v="12321"/>
    <n v="16"/>
    <m/>
    <m/>
    <m/>
    <m/>
    <m/>
    <m/>
    <m/>
    <m/>
    <m/>
    <m/>
    <m/>
    <m/>
    <m/>
    <m/>
    <m/>
    <m/>
    <m/>
    <m/>
    <m/>
    <m/>
    <m/>
  </r>
  <r>
    <x v="0"/>
    <n v="24"/>
    <s v="SLP"/>
    <x v="23"/>
    <s v="2012-2013"/>
    <x v="2"/>
    <n v="5478"/>
    <n v="2196"/>
    <n v="3282"/>
    <n v="44949"/>
    <n v="84"/>
    <n v="24"/>
    <n v="28"/>
    <n v="4489"/>
    <n v="162721.95294879421"/>
    <n v="2938"/>
    <n v="5457"/>
    <n v="1063"/>
    <m/>
    <m/>
    <n v="2168"/>
    <n v="951"/>
    <n v="882"/>
    <n v="826"/>
    <n v="5478"/>
    <n v="68158288"/>
    <n v="341"/>
    <n v="445"/>
    <n v="10960"/>
    <n v="170"/>
    <m/>
    <m/>
    <m/>
    <m/>
    <m/>
    <m/>
    <m/>
    <m/>
    <m/>
    <m/>
    <m/>
    <m/>
    <m/>
    <m/>
    <m/>
    <m/>
    <m/>
    <m/>
    <m/>
    <m/>
    <m/>
  </r>
  <r>
    <x v="0"/>
    <n v="25"/>
    <s v="SIN"/>
    <x v="24"/>
    <s v="2012-2013"/>
    <x v="2"/>
    <n v="9564"/>
    <n v="3935"/>
    <n v="5629"/>
    <n v="45264"/>
    <n v="171"/>
    <n v="40"/>
    <n v="44"/>
    <n v="8117"/>
    <n v="166975.11134791601"/>
    <n v="4827"/>
    <n v="9080"/>
    <n v="2190"/>
    <m/>
    <m/>
    <n v="3176"/>
    <n v="2090"/>
    <n v="2057"/>
    <n v="2052"/>
    <n v="9564"/>
    <n v="173106212"/>
    <n v="590"/>
    <n v="957"/>
    <n v="11683"/>
    <n v="93"/>
    <m/>
    <m/>
    <m/>
    <m/>
    <m/>
    <m/>
    <m/>
    <m/>
    <m/>
    <m/>
    <m/>
    <m/>
    <m/>
    <m/>
    <m/>
    <m/>
    <m/>
    <m/>
    <m/>
    <m/>
    <m/>
  </r>
  <r>
    <x v="0"/>
    <n v="26"/>
    <s v="SON"/>
    <x v="25"/>
    <s v="2012-2013"/>
    <x v="2"/>
    <n v="12561"/>
    <n v="5124"/>
    <n v="7437"/>
    <n v="42230"/>
    <n v="223"/>
    <n v="45"/>
    <n v="60"/>
    <n v="10479"/>
    <n v="156315.86238266551"/>
    <n v="5531"/>
    <n v="13196"/>
    <n v="2333"/>
    <m/>
    <m/>
    <n v="5253"/>
    <n v="2121"/>
    <n v="2103"/>
    <n v="1881"/>
    <n v="12561"/>
    <n v="177838898"/>
    <n v="42"/>
    <n v="961"/>
    <n v="15470"/>
    <n v="101"/>
    <m/>
    <m/>
    <m/>
    <m/>
    <m/>
    <m/>
    <m/>
    <m/>
    <m/>
    <m/>
    <m/>
    <m/>
    <m/>
    <m/>
    <m/>
    <m/>
    <m/>
    <m/>
    <m/>
    <m/>
    <m/>
  </r>
  <r>
    <x v="0"/>
    <n v="27"/>
    <s v="TAB"/>
    <x v="26"/>
    <s v="2012-2013"/>
    <x v="2"/>
    <n v="5305"/>
    <n v="2213"/>
    <n v="3092"/>
    <n v="36810"/>
    <n v="76"/>
    <n v="24"/>
    <n v="26"/>
    <n v="4446"/>
    <n v="135006.4916160994"/>
    <n v="2330"/>
    <n v="5040"/>
    <n v="1220"/>
    <m/>
    <m/>
    <n v="2186"/>
    <n v="1080"/>
    <n v="1149"/>
    <n v="1121"/>
    <n v="5305"/>
    <n v="89213480"/>
    <n v="304"/>
    <n v="388"/>
    <n v="4008"/>
    <n v="0"/>
    <m/>
    <m/>
    <m/>
    <m/>
    <m/>
    <m/>
    <m/>
    <m/>
    <m/>
    <m/>
    <m/>
    <m/>
    <m/>
    <m/>
    <m/>
    <m/>
    <m/>
    <m/>
    <m/>
    <m/>
    <m/>
  </r>
  <r>
    <x v="0"/>
    <n v="28"/>
    <s v="TAMPS"/>
    <x v="27"/>
    <s v="2012-2013"/>
    <x v="2"/>
    <n v="8923"/>
    <n v="4147"/>
    <n v="4776"/>
    <n v="46139"/>
    <n v="140"/>
    <n v="25"/>
    <n v="47"/>
    <n v="7462"/>
    <n v="184782.07158093911"/>
    <n v="4907"/>
    <n v="8177"/>
    <n v="1926"/>
    <m/>
    <m/>
    <n v="3579"/>
    <n v="1817"/>
    <n v="1747"/>
    <n v="1715"/>
    <n v="8923"/>
    <n v="137343621"/>
    <n v="412"/>
    <n v="958"/>
    <n v="20257"/>
    <n v="622"/>
    <m/>
    <m/>
    <m/>
    <m/>
    <n v="15"/>
    <m/>
    <m/>
    <m/>
    <m/>
    <m/>
    <m/>
    <m/>
    <m/>
    <m/>
    <m/>
    <m/>
    <m/>
    <m/>
    <m/>
    <m/>
    <m/>
  </r>
  <r>
    <x v="0"/>
    <n v="29"/>
    <s v="TLAX"/>
    <x v="28"/>
    <s v="2012-2013"/>
    <x v="2"/>
    <n v="3109"/>
    <n v="1332"/>
    <n v="1777"/>
    <n v="23065"/>
    <n v="42"/>
    <n v="12"/>
    <n v="16"/>
    <n v="2569"/>
    <n v="72843.924734240776"/>
    <n v="1638"/>
    <n v="2587"/>
    <n v="621"/>
    <m/>
    <m/>
    <n v="985"/>
    <n v="571"/>
    <n v="573"/>
    <n v="569"/>
    <n v="3109"/>
    <n v="33240372"/>
    <n v="205"/>
    <n v="401"/>
    <n v="2039"/>
    <n v="7"/>
    <m/>
    <m/>
    <m/>
    <m/>
    <m/>
    <m/>
    <m/>
    <m/>
    <m/>
    <m/>
    <m/>
    <m/>
    <m/>
    <m/>
    <m/>
    <m/>
    <m/>
    <m/>
    <m/>
    <m/>
    <m/>
  </r>
  <r>
    <x v="0"/>
    <n v="30"/>
    <s v="VER"/>
    <x v="29"/>
    <s v="2012-2013"/>
    <x v="2"/>
    <n v="9255"/>
    <n v="3711"/>
    <n v="5544"/>
    <n v="119985"/>
    <n v="164"/>
    <n v="39"/>
    <n v="83"/>
    <n v="7867"/>
    <n v="459028.2415179275"/>
    <n v="5514"/>
    <n v="9257"/>
    <n v="2375"/>
    <m/>
    <m/>
    <n v="3772"/>
    <n v="2128"/>
    <n v="2317"/>
    <n v="2202"/>
    <n v="9255"/>
    <n v="177451974"/>
    <n v="589"/>
    <n v="1350"/>
    <n v="14349"/>
    <n v="280"/>
    <m/>
    <m/>
    <m/>
    <m/>
    <n v="552"/>
    <m/>
    <m/>
    <m/>
    <m/>
    <m/>
    <m/>
    <m/>
    <m/>
    <m/>
    <m/>
    <m/>
    <m/>
    <m/>
    <m/>
    <m/>
    <m/>
  </r>
  <r>
    <x v="0"/>
    <n v="31"/>
    <s v="YUC"/>
    <x v="30"/>
    <s v="2012-2013"/>
    <x v="2"/>
    <n v="4409"/>
    <n v="1708"/>
    <n v="2701"/>
    <n v="29066"/>
    <n v="56"/>
    <n v="10"/>
    <n v="16"/>
    <n v="3300"/>
    <n v="113961.53601094714"/>
    <n v="2684"/>
    <n v="4693"/>
    <n v="843"/>
    <m/>
    <m/>
    <n v="1718"/>
    <n v="774"/>
    <n v="871"/>
    <n v="770"/>
    <n v="4409"/>
    <n v="77263516"/>
    <n v="275"/>
    <n v="367"/>
    <n v="7244"/>
    <n v="183"/>
    <m/>
    <m/>
    <m/>
    <m/>
    <m/>
    <m/>
    <m/>
    <m/>
    <m/>
    <m/>
    <m/>
    <m/>
    <m/>
    <m/>
    <m/>
    <m/>
    <m/>
    <m/>
    <m/>
    <m/>
    <m/>
  </r>
  <r>
    <x v="0"/>
    <n v="32"/>
    <s v="ZAC"/>
    <x v="31"/>
    <s v="2012-2013"/>
    <x v="2"/>
    <n v="1722"/>
    <n v="767"/>
    <n v="955"/>
    <n v="23608"/>
    <n v="37"/>
    <n v="13"/>
    <n v="6"/>
    <n v="1325"/>
    <n v="91820.373265537899"/>
    <n v="934"/>
    <n v="1588"/>
    <n v="323"/>
    <m/>
    <m/>
    <n v="806"/>
    <n v="288"/>
    <n v="214"/>
    <n v="201"/>
    <n v="1722"/>
    <n v="32108696"/>
    <n v="95"/>
    <n v="155"/>
    <n v="2900"/>
    <n v="70"/>
    <m/>
    <m/>
    <m/>
    <m/>
    <m/>
    <m/>
    <m/>
    <m/>
    <m/>
    <m/>
    <m/>
    <m/>
    <m/>
    <m/>
    <m/>
    <m/>
    <m/>
    <m/>
    <m/>
    <m/>
    <m/>
  </r>
  <r>
    <x v="2"/>
    <n v="33"/>
    <s v="OTRO"/>
    <x v="32"/>
    <s v="2012-2013"/>
    <x v="2"/>
    <m/>
    <m/>
    <m/>
    <m/>
    <m/>
    <m/>
    <m/>
    <m/>
    <m/>
    <m/>
    <m/>
    <m/>
    <m/>
    <m/>
    <m/>
    <m/>
    <m/>
    <m/>
    <m/>
    <m/>
    <m/>
    <m/>
    <m/>
    <m/>
    <m/>
    <m/>
    <m/>
    <m/>
    <m/>
    <m/>
    <m/>
    <m/>
    <m/>
    <m/>
    <m/>
    <m/>
    <m/>
    <m/>
    <m/>
    <m/>
    <m/>
    <m/>
    <m/>
    <m/>
    <m/>
  </r>
  <r>
    <x v="1"/>
    <n v="0"/>
    <s v="ON"/>
    <x v="33"/>
    <s v="2012-2013"/>
    <x v="2"/>
    <m/>
    <m/>
    <m/>
    <m/>
    <m/>
    <m/>
    <m/>
    <m/>
    <m/>
    <m/>
    <m/>
    <m/>
    <m/>
    <m/>
    <m/>
    <m/>
    <m/>
    <m/>
    <m/>
    <m/>
    <m/>
    <m/>
    <m/>
    <m/>
    <m/>
    <m/>
    <m/>
    <m/>
    <m/>
    <n v="256402"/>
    <n v="1450045"/>
    <n v="1450045"/>
    <n v="1457806"/>
    <n v="1336007"/>
    <n v="1336007"/>
    <n v="1334976.8"/>
    <n v="1339687.2"/>
    <n v="115068.5"/>
    <n v="118119"/>
    <n v="114038"/>
    <n v="1450045.3"/>
    <n v="113831"/>
    <n v="121799"/>
    <n v="1450045"/>
    <n v="1457806"/>
  </r>
  <r>
    <x v="0"/>
    <n v="1"/>
    <s v="AGS"/>
    <x v="0"/>
    <s v="2013-2014"/>
    <x v="3"/>
    <n v="4724"/>
    <n v="1749"/>
    <n v="2975"/>
    <n v="22184"/>
    <n v="84"/>
    <n v="13"/>
    <n v="19"/>
    <n v="3957"/>
    <n v="75231.71103324533"/>
    <n v="3860"/>
    <n v="4876"/>
    <n v="1235"/>
    <m/>
    <m/>
    <n v="1791"/>
    <n v="1076"/>
    <n v="963"/>
    <n v="848"/>
    <n v="4724"/>
    <n v="53064138"/>
    <n v="285"/>
    <n v="441"/>
    <n v="5889"/>
    <n v="545"/>
    <m/>
    <m/>
    <m/>
    <n v="327"/>
    <m/>
    <m/>
    <m/>
    <m/>
    <m/>
    <m/>
    <m/>
    <m/>
    <m/>
    <m/>
    <m/>
    <m/>
    <m/>
    <m/>
    <m/>
    <m/>
    <m/>
  </r>
  <r>
    <x v="0"/>
    <n v="2"/>
    <s v="BC"/>
    <x v="1"/>
    <s v="2013-2014"/>
    <x v="3"/>
    <n v="7923"/>
    <n v="3120"/>
    <n v="4803"/>
    <n v="50847"/>
    <n v="118"/>
    <n v="16"/>
    <n v="25"/>
    <n v="6510"/>
    <n v="192570.33030696079"/>
    <n v="3981"/>
    <n v="8368"/>
    <n v="1836"/>
    <m/>
    <m/>
    <n v="3518"/>
    <n v="1654"/>
    <n v="1526"/>
    <n v="1480"/>
    <n v="7923"/>
    <n v="113761602"/>
    <n v="394"/>
    <n v="714"/>
    <n v="11950"/>
    <n v="183"/>
    <m/>
    <m/>
    <m/>
    <n v="0"/>
    <n v="1693"/>
    <m/>
    <m/>
    <m/>
    <m/>
    <m/>
    <m/>
    <m/>
    <m/>
    <m/>
    <m/>
    <m/>
    <m/>
    <m/>
    <m/>
    <m/>
    <m/>
  </r>
  <r>
    <x v="0"/>
    <n v="3"/>
    <s v="BCS"/>
    <x v="2"/>
    <s v="2013-2014"/>
    <x v="3"/>
    <n v="2058"/>
    <n v="884"/>
    <n v="1174"/>
    <n v="10507"/>
    <n v="29"/>
    <n v="7"/>
    <n v="2"/>
    <n v="1587"/>
    <n v="38630.89366289071"/>
    <n v="1399"/>
    <n v="1902"/>
    <n v="411"/>
    <m/>
    <m/>
    <n v="724"/>
    <n v="366"/>
    <n v="420"/>
    <n v="394"/>
    <n v="2058"/>
    <n v="28483347"/>
    <n v="105"/>
    <n v="203"/>
    <n v="2477"/>
    <n v="258"/>
    <m/>
    <m/>
    <m/>
    <n v="0"/>
    <m/>
    <m/>
    <m/>
    <m/>
    <m/>
    <m/>
    <m/>
    <m/>
    <m/>
    <m/>
    <m/>
    <m/>
    <m/>
    <m/>
    <m/>
    <m/>
    <m/>
  </r>
  <r>
    <x v="0"/>
    <n v="4"/>
    <s v="CAMP"/>
    <x v="3"/>
    <s v="2013-2014"/>
    <x v="3"/>
    <n v="1930"/>
    <n v="799"/>
    <n v="1131"/>
    <n v="12284"/>
    <n v="36"/>
    <n v="8"/>
    <n v="16"/>
    <n v="1376"/>
    <n v="49606.327829282833"/>
    <n v="958"/>
    <n v="1864"/>
    <n v="375"/>
    <m/>
    <m/>
    <n v="760"/>
    <n v="347"/>
    <n v="274"/>
    <n v="266"/>
    <n v="1930"/>
    <n v="34103141"/>
    <n v="107"/>
    <n v="280"/>
    <n v="2177"/>
    <n v="750"/>
    <m/>
    <m/>
    <m/>
    <n v="625"/>
    <m/>
    <m/>
    <m/>
    <m/>
    <m/>
    <m/>
    <m/>
    <m/>
    <m/>
    <m/>
    <m/>
    <m/>
    <m/>
    <m/>
    <m/>
    <m/>
    <m/>
  </r>
  <r>
    <x v="0"/>
    <n v="7"/>
    <s v="CHIAP"/>
    <x v="4"/>
    <s v="2013-2014"/>
    <x v="3"/>
    <n v="7916"/>
    <n v="3054"/>
    <n v="4862"/>
    <n v="85235"/>
    <n v="143"/>
    <n v="21"/>
    <n v="42"/>
    <n v="5924"/>
    <n v="339210.95663831854"/>
    <n v="4091"/>
    <n v="7730"/>
    <n v="1854"/>
    <m/>
    <m/>
    <n v="3009"/>
    <n v="1710"/>
    <n v="1305"/>
    <n v="1212"/>
    <n v="7916"/>
    <n v="132254276"/>
    <n v="445"/>
    <n v="558"/>
    <n v="5222"/>
    <n v="13"/>
    <m/>
    <m/>
    <m/>
    <n v="256"/>
    <m/>
    <m/>
    <m/>
    <m/>
    <m/>
    <m/>
    <m/>
    <m/>
    <m/>
    <m/>
    <m/>
    <m/>
    <m/>
    <m/>
    <m/>
    <m/>
    <m/>
  </r>
  <r>
    <x v="0"/>
    <n v="8"/>
    <s v="CHIH"/>
    <x v="5"/>
    <s v="2013-2014"/>
    <x v="3"/>
    <n v="9072"/>
    <n v="3670"/>
    <n v="5402"/>
    <n v="53834"/>
    <n v="143"/>
    <n v="26"/>
    <n v="40"/>
    <n v="7458"/>
    <n v="201420.28859328708"/>
    <n v="4392"/>
    <n v="9183"/>
    <n v="1832"/>
    <m/>
    <m/>
    <n v="3668"/>
    <n v="1658"/>
    <n v="1499"/>
    <n v="1450"/>
    <n v="9072"/>
    <n v="126336677"/>
    <n v="604"/>
    <n v="856"/>
    <n v="11054"/>
    <n v="2633"/>
    <m/>
    <m/>
    <m/>
    <n v="4469"/>
    <n v="962"/>
    <m/>
    <m/>
    <m/>
    <m/>
    <m/>
    <m/>
    <m/>
    <m/>
    <m/>
    <m/>
    <m/>
    <m/>
    <m/>
    <m/>
    <m/>
    <m/>
  </r>
  <r>
    <x v="1"/>
    <n v="9"/>
    <s v="CDMX"/>
    <x v="6"/>
    <s v="2013-2014"/>
    <x v="3"/>
    <n v="42808"/>
    <n v="17832"/>
    <n v="24976"/>
    <n v="128608"/>
    <n v="545"/>
    <n v="91"/>
    <n v="164"/>
    <n v="31960"/>
    <n v="416841.07252891117"/>
    <n v="22668"/>
    <n v="43673"/>
    <n v="9190"/>
    <m/>
    <m/>
    <n v="20540"/>
    <n v="7987"/>
    <n v="7474"/>
    <n v="4963"/>
    <m/>
    <m/>
    <n v="2120"/>
    <n v="3101"/>
    <n v="20448"/>
    <n v="2193"/>
    <m/>
    <m/>
    <m/>
    <n v="1443"/>
    <m/>
    <m/>
    <m/>
    <m/>
    <m/>
    <m/>
    <m/>
    <m/>
    <m/>
    <m/>
    <m/>
    <m/>
    <m/>
    <m/>
    <m/>
    <m/>
    <m/>
  </r>
  <r>
    <x v="0"/>
    <n v="5"/>
    <s v="COAH"/>
    <x v="7"/>
    <s v="2013-2014"/>
    <x v="3"/>
    <n v="7891"/>
    <n v="3155"/>
    <n v="4736"/>
    <n v="43223"/>
    <n v="132"/>
    <n v="31"/>
    <n v="42"/>
    <n v="7051"/>
    <n v="163236.43417178339"/>
    <n v="4144"/>
    <n v="8071"/>
    <n v="1943"/>
    <m/>
    <m/>
    <n v="3257"/>
    <n v="1767"/>
    <n v="1594"/>
    <n v="1593"/>
    <n v="7891"/>
    <n v="124076457"/>
    <n v="426"/>
    <n v="943"/>
    <n v="12186"/>
    <n v="1121"/>
    <m/>
    <m/>
    <m/>
    <n v="1346"/>
    <m/>
    <m/>
    <m/>
    <m/>
    <m/>
    <m/>
    <m/>
    <m/>
    <m/>
    <m/>
    <m/>
    <m/>
    <m/>
    <m/>
    <m/>
    <m/>
    <m/>
  </r>
  <r>
    <x v="0"/>
    <n v="6"/>
    <s v="COL"/>
    <x v="8"/>
    <s v="2013-2014"/>
    <x v="3"/>
    <n v="1883"/>
    <n v="813"/>
    <n v="1070"/>
    <n v="8912"/>
    <n v="41"/>
    <n v="6"/>
    <n v="10"/>
    <n v="1151"/>
    <n v="37630.754876559426"/>
    <n v="948"/>
    <n v="1864"/>
    <n v="362"/>
    <m/>
    <m/>
    <n v="778"/>
    <n v="311"/>
    <n v="299"/>
    <n v="282"/>
    <n v="1883"/>
    <n v="34433440"/>
    <n v="122"/>
    <n v="289"/>
    <n v="3260"/>
    <n v="278"/>
    <m/>
    <m/>
    <m/>
    <n v="2"/>
    <m/>
    <m/>
    <m/>
    <m/>
    <m/>
    <m/>
    <m/>
    <m/>
    <m/>
    <m/>
    <m/>
    <m/>
    <m/>
    <m/>
    <m/>
    <m/>
    <m/>
  </r>
  <r>
    <x v="0"/>
    <n v="10"/>
    <s v="DGO"/>
    <x v="9"/>
    <s v="2013-2014"/>
    <x v="3"/>
    <n v="2413"/>
    <n v="1022"/>
    <n v="1391"/>
    <n v="28121"/>
    <n v="45"/>
    <n v="13"/>
    <n v="11"/>
    <n v="2057"/>
    <n v="104245.78939787953"/>
    <n v="1204"/>
    <n v="2386"/>
    <n v="447"/>
    <m/>
    <m/>
    <n v="1008"/>
    <n v="388"/>
    <n v="389"/>
    <n v="305"/>
    <n v="2413"/>
    <n v="33640421"/>
    <n v="165"/>
    <n v="245"/>
    <n v="7093"/>
    <n v="318"/>
    <m/>
    <m/>
    <m/>
    <n v="512"/>
    <m/>
    <m/>
    <m/>
    <m/>
    <m/>
    <m/>
    <m/>
    <m/>
    <m/>
    <m/>
    <m/>
    <m/>
    <m/>
    <m/>
    <m/>
    <m/>
    <m/>
  </r>
  <r>
    <x v="0"/>
    <n v="11"/>
    <s v="GTO"/>
    <x v="10"/>
    <s v="2013-2014"/>
    <x v="3"/>
    <n v="18280"/>
    <n v="8079"/>
    <n v="10201"/>
    <n v="92929"/>
    <n v="254"/>
    <n v="60"/>
    <n v="81"/>
    <n v="15586"/>
    <n v="350709.29111595784"/>
    <n v="12334"/>
    <n v="16619"/>
    <n v="4270"/>
    <m/>
    <m/>
    <n v="6317"/>
    <n v="3989"/>
    <n v="3531"/>
    <n v="3297"/>
    <n v="18280"/>
    <n v="202301884"/>
    <n v="917"/>
    <n v="1986"/>
    <n v="22717"/>
    <n v="2129"/>
    <m/>
    <m/>
    <m/>
    <n v="599"/>
    <n v="8974"/>
    <m/>
    <m/>
    <m/>
    <m/>
    <m/>
    <m/>
    <m/>
    <m/>
    <m/>
    <m/>
    <m/>
    <m/>
    <m/>
    <m/>
    <m/>
    <m/>
  </r>
  <r>
    <x v="0"/>
    <n v="12"/>
    <s v="GRO"/>
    <x v="11"/>
    <s v="2013-2014"/>
    <x v="3"/>
    <n v="6996"/>
    <n v="2731"/>
    <n v="4265"/>
    <n v="57748"/>
    <n v="118"/>
    <n v="25"/>
    <n v="39"/>
    <n v="5628"/>
    <n v="229444.85510118637"/>
    <n v="3569"/>
    <n v="7047"/>
    <n v="1624"/>
    <m/>
    <m/>
    <n v="3069"/>
    <n v="1531"/>
    <n v="1318"/>
    <n v="1020"/>
    <n v="6996"/>
    <n v="110429628"/>
    <n v="327"/>
    <n v="608"/>
    <n v="4631"/>
    <n v="1238"/>
    <m/>
    <m/>
    <m/>
    <n v="1886"/>
    <m/>
    <m/>
    <m/>
    <m/>
    <m/>
    <m/>
    <m/>
    <m/>
    <m/>
    <m/>
    <m/>
    <m/>
    <m/>
    <m/>
    <m/>
    <m/>
    <m/>
  </r>
  <r>
    <x v="0"/>
    <n v="13"/>
    <s v="HGO"/>
    <x v="12"/>
    <s v="2013-2014"/>
    <x v="3"/>
    <n v="3924"/>
    <n v="1716"/>
    <n v="2208"/>
    <n v="48232"/>
    <n v="65"/>
    <n v="27"/>
    <n v="26"/>
    <n v="3007"/>
    <n v="160236.09623416909"/>
    <n v="2104"/>
    <n v="3690"/>
    <n v="794"/>
    <m/>
    <m/>
    <n v="1445"/>
    <n v="696"/>
    <n v="719"/>
    <n v="715"/>
    <n v="3924"/>
    <n v="52946557"/>
    <n v="222"/>
    <n v="404"/>
    <n v="2670"/>
    <n v="247"/>
    <m/>
    <m/>
    <m/>
    <n v="207"/>
    <m/>
    <m/>
    <m/>
    <m/>
    <m/>
    <m/>
    <m/>
    <m/>
    <m/>
    <m/>
    <m/>
    <m/>
    <m/>
    <m/>
    <m/>
    <m/>
    <m/>
  </r>
  <r>
    <x v="0"/>
    <n v="14"/>
    <s v="JAL"/>
    <x v="13"/>
    <s v="2013-2014"/>
    <x v="3"/>
    <n v="14705"/>
    <n v="5644"/>
    <n v="9061"/>
    <n v="110165"/>
    <n v="255"/>
    <n v="32"/>
    <n v="75"/>
    <n v="11660"/>
    <n v="435539.89541535149"/>
    <n v="7428"/>
    <n v="15407"/>
    <n v="3549"/>
    <m/>
    <m/>
    <n v="6042"/>
    <n v="3118"/>
    <n v="2939"/>
    <n v="2839"/>
    <n v="14705"/>
    <n v="214696273"/>
    <n v="879"/>
    <n v="2076"/>
    <n v="23920"/>
    <n v="2393"/>
    <m/>
    <m/>
    <m/>
    <n v="35"/>
    <n v="427"/>
    <m/>
    <m/>
    <m/>
    <m/>
    <m/>
    <m/>
    <m/>
    <m/>
    <m/>
    <m/>
    <m/>
    <m/>
    <m/>
    <m/>
    <m/>
    <m/>
  </r>
  <r>
    <x v="0"/>
    <n v="15"/>
    <s v="MEX"/>
    <x v="14"/>
    <s v="2013-2014"/>
    <x v="3"/>
    <n v="47473"/>
    <n v="19346"/>
    <n v="28127"/>
    <n v="246038"/>
    <n v="737"/>
    <n v="137"/>
    <n v="223"/>
    <n v="36796"/>
    <n v="909426.38239890151"/>
    <n v="23555"/>
    <n v="48217"/>
    <n v="10598"/>
    <m/>
    <m/>
    <n v="22526"/>
    <n v="9041"/>
    <n v="9088"/>
    <n v="7283"/>
    <n v="47473"/>
    <n v="623639878"/>
    <n v="2508"/>
    <n v="4063"/>
    <n v="36420"/>
    <n v="4072"/>
    <m/>
    <m/>
    <m/>
    <n v="5395"/>
    <n v="582"/>
    <m/>
    <m/>
    <m/>
    <m/>
    <m/>
    <m/>
    <m/>
    <m/>
    <m/>
    <m/>
    <m/>
    <m/>
    <m/>
    <m/>
    <m/>
    <m/>
  </r>
  <r>
    <x v="0"/>
    <n v="16"/>
    <s v="MICH"/>
    <x v="15"/>
    <s v="2013-2014"/>
    <x v="3"/>
    <n v="11807"/>
    <n v="4749"/>
    <n v="7058"/>
    <n v="62745"/>
    <n v="226"/>
    <n v="41"/>
    <n v="63"/>
    <n v="8818"/>
    <n v="268149.49620750209"/>
    <n v="5920"/>
    <n v="12293"/>
    <n v="2966"/>
    <m/>
    <m/>
    <n v="5668"/>
    <n v="2525"/>
    <n v="2285"/>
    <n v="2083"/>
    <n v="11807"/>
    <n v="171064724"/>
    <n v="490"/>
    <n v="1056"/>
    <n v="6714"/>
    <n v="713"/>
    <m/>
    <m/>
    <m/>
    <n v="0"/>
    <m/>
    <m/>
    <m/>
    <m/>
    <m/>
    <m/>
    <m/>
    <m/>
    <m/>
    <m/>
    <m/>
    <m/>
    <m/>
    <m/>
    <m/>
    <m/>
    <m/>
  </r>
  <r>
    <x v="0"/>
    <n v="17"/>
    <s v="MOR"/>
    <x v="16"/>
    <s v="2013-2014"/>
    <x v="3"/>
    <n v="4693"/>
    <n v="1832"/>
    <n v="2861"/>
    <n v="29652"/>
    <n v="59"/>
    <n v="20"/>
    <n v="12"/>
    <n v="4044"/>
    <n v="103844.39817265478"/>
    <n v="2048"/>
    <n v="5012"/>
    <n v="1353"/>
    <m/>
    <m/>
    <n v="2231"/>
    <n v="1292"/>
    <n v="1059"/>
    <n v="973"/>
    <n v="4693"/>
    <n v="58251157"/>
    <n v="246"/>
    <n v="563"/>
    <n v="4512"/>
    <n v="648"/>
    <m/>
    <m/>
    <m/>
    <n v="2011"/>
    <m/>
    <m/>
    <m/>
    <m/>
    <m/>
    <m/>
    <m/>
    <m/>
    <m/>
    <m/>
    <m/>
    <m/>
    <m/>
    <m/>
    <m/>
    <m/>
    <m/>
  </r>
  <r>
    <x v="0"/>
    <n v="18"/>
    <s v="NAY"/>
    <x v="17"/>
    <s v="2013-2014"/>
    <x v="3"/>
    <n v="3037"/>
    <n v="1236"/>
    <n v="1801"/>
    <n v="18277"/>
    <n v="54"/>
    <n v="8"/>
    <n v="9"/>
    <n v="2723"/>
    <n v="65290.161300975204"/>
    <n v="1589"/>
    <n v="3043"/>
    <n v="684"/>
    <m/>
    <m/>
    <n v="1318"/>
    <n v="653"/>
    <n v="692"/>
    <n v="677"/>
    <n v="3037"/>
    <n v="43499898"/>
    <n v="120"/>
    <n v="418"/>
    <n v="1860"/>
    <n v="130"/>
    <m/>
    <m/>
    <m/>
    <n v="92"/>
    <m/>
    <m/>
    <m/>
    <m/>
    <m/>
    <m/>
    <m/>
    <m/>
    <m/>
    <m/>
    <m/>
    <m/>
    <m/>
    <m/>
    <m/>
    <m/>
    <m/>
  </r>
  <r>
    <x v="0"/>
    <n v="19"/>
    <s v="NL"/>
    <x v="18"/>
    <s v="2013-2014"/>
    <x v="3"/>
    <n v="17191"/>
    <n v="7514"/>
    <n v="9677"/>
    <n v="75177"/>
    <n v="250"/>
    <n v="52"/>
    <n v="80"/>
    <n v="14351"/>
    <n v="258644.31615898266"/>
    <n v="10674"/>
    <n v="16396"/>
    <n v="3499"/>
    <m/>
    <m/>
    <n v="6451"/>
    <n v="3199"/>
    <n v="3069"/>
    <n v="2967"/>
    <n v="17191"/>
    <n v="181234995"/>
    <n v="891"/>
    <n v="1703"/>
    <n v="44762"/>
    <n v="4064"/>
    <m/>
    <m/>
    <m/>
    <n v="37828"/>
    <n v="617"/>
    <m/>
    <m/>
    <m/>
    <m/>
    <m/>
    <m/>
    <m/>
    <m/>
    <m/>
    <m/>
    <m/>
    <m/>
    <m/>
    <m/>
    <m/>
    <m/>
  </r>
  <r>
    <x v="1"/>
    <n v="20"/>
    <s v="OAX"/>
    <x v="19"/>
    <s v="2013-2014"/>
    <x v="3"/>
    <n v="6603"/>
    <n v="2396"/>
    <n v="4207"/>
    <n v="63618"/>
    <n v="106"/>
    <n v="8"/>
    <n v="32"/>
    <n v="5119"/>
    <n v="244037.21660395796"/>
    <n v="3072"/>
    <n v="6750"/>
    <n v="1293"/>
    <m/>
    <m/>
    <n v="2468"/>
    <n v="1194"/>
    <n v="1152"/>
    <n v="891"/>
    <m/>
    <m/>
    <n v="382"/>
    <n v="420"/>
    <n v="2817"/>
    <n v="65"/>
    <m/>
    <m/>
    <m/>
    <n v="462"/>
    <m/>
    <m/>
    <m/>
    <m/>
    <m/>
    <m/>
    <m/>
    <m/>
    <m/>
    <m/>
    <m/>
    <m/>
    <m/>
    <m/>
    <m/>
    <m/>
    <m/>
  </r>
  <r>
    <x v="0"/>
    <n v="21"/>
    <s v="PUE"/>
    <x v="20"/>
    <s v="2013-2014"/>
    <x v="3"/>
    <n v="7277"/>
    <n v="2813"/>
    <n v="4464"/>
    <n v="99239"/>
    <n v="141"/>
    <n v="37"/>
    <n v="56"/>
    <n v="6125"/>
    <n v="366372.62420574436"/>
    <n v="4136"/>
    <n v="7539"/>
    <n v="1934"/>
    <m/>
    <m/>
    <n v="3093"/>
    <n v="1760"/>
    <n v="1621"/>
    <n v="1546"/>
    <n v="7277"/>
    <n v="124199174"/>
    <n v="392"/>
    <n v="875"/>
    <n v="7054"/>
    <n v="567"/>
    <m/>
    <m/>
    <m/>
    <n v="5358"/>
    <m/>
    <m/>
    <m/>
    <m/>
    <m/>
    <m/>
    <m/>
    <m/>
    <m/>
    <m/>
    <m/>
    <m/>
    <m/>
    <m/>
    <m/>
    <m/>
    <m/>
  </r>
  <r>
    <x v="0"/>
    <n v="22"/>
    <s v="QRO"/>
    <x v="21"/>
    <s v="2013-2014"/>
    <x v="3"/>
    <n v="3224"/>
    <n v="1347"/>
    <n v="1877"/>
    <n v="28481"/>
    <n v="51"/>
    <n v="12"/>
    <n v="28"/>
    <n v="2742"/>
    <n v="113507.25317716529"/>
    <n v="2178"/>
    <n v="3014"/>
    <n v="748"/>
    <m/>
    <m/>
    <n v="1048"/>
    <n v="703"/>
    <n v="606"/>
    <n v="528"/>
    <n v="3224"/>
    <n v="38235173"/>
    <n v="243"/>
    <n v="354"/>
    <n v="4856"/>
    <n v="219"/>
    <m/>
    <m/>
    <m/>
    <n v="4"/>
    <m/>
    <m/>
    <m/>
    <m/>
    <m/>
    <m/>
    <m/>
    <m/>
    <m/>
    <m/>
    <m/>
    <m/>
    <m/>
    <m/>
    <m/>
    <m/>
    <m/>
  </r>
  <r>
    <x v="0"/>
    <n v="23"/>
    <s v="QROO"/>
    <x v="22"/>
    <s v="2013-2014"/>
    <x v="3"/>
    <n v="8835"/>
    <n v="3422"/>
    <n v="5413"/>
    <n v="20556"/>
    <n v="104"/>
    <n v="18"/>
    <n v="29"/>
    <n v="6863"/>
    <n v="80603.226862702431"/>
    <n v="3967"/>
    <n v="8685"/>
    <n v="2104"/>
    <m/>
    <m/>
    <n v="3302"/>
    <n v="1858"/>
    <n v="1943"/>
    <n v="1886"/>
    <n v="8835"/>
    <n v="83082049"/>
    <n v="409"/>
    <n v="854"/>
    <n v="8547"/>
    <n v="650"/>
    <m/>
    <m/>
    <m/>
    <n v="1653"/>
    <m/>
    <m/>
    <m/>
    <m/>
    <m/>
    <m/>
    <m/>
    <m/>
    <m/>
    <m/>
    <m/>
    <m/>
    <m/>
    <m/>
    <m/>
    <m/>
    <m/>
  </r>
  <r>
    <x v="0"/>
    <n v="24"/>
    <s v="SLP"/>
    <x v="23"/>
    <s v="2013-2014"/>
    <x v="3"/>
    <n v="5373"/>
    <n v="2113"/>
    <n v="3260"/>
    <n v="44201"/>
    <n v="84"/>
    <n v="24"/>
    <n v="28"/>
    <n v="4365"/>
    <n v="162591.23938538344"/>
    <n v="2513"/>
    <n v="5478"/>
    <n v="1182"/>
    <m/>
    <m/>
    <n v="2270"/>
    <n v="1099"/>
    <n v="951"/>
    <n v="886"/>
    <n v="5373"/>
    <n v="72691037"/>
    <n v="327"/>
    <n v="398"/>
    <n v="8025"/>
    <n v="711"/>
    <m/>
    <m/>
    <m/>
    <n v="903"/>
    <m/>
    <m/>
    <m/>
    <m/>
    <m/>
    <m/>
    <m/>
    <m/>
    <m/>
    <m/>
    <m/>
    <m/>
    <m/>
    <m/>
    <m/>
    <m/>
    <m/>
  </r>
  <r>
    <x v="0"/>
    <n v="25"/>
    <s v="SIN"/>
    <x v="24"/>
    <s v="2013-2014"/>
    <x v="3"/>
    <n v="9306"/>
    <n v="3734"/>
    <n v="5572"/>
    <n v="47345"/>
    <n v="180"/>
    <n v="48"/>
    <n v="49"/>
    <n v="7757"/>
    <n v="166876.95846203336"/>
    <n v="4530"/>
    <n v="9564"/>
    <n v="2408"/>
    <m/>
    <m/>
    <n v="3555"/>
    <n v="2310"/>
    <n v="2090"/>
    <n v="2080"/>
    <n v="9306"/>
    <n v="184315590"/>
    <n v="612"/>
    <n v="986"/>
    <n v="7312"/>
    <n v="388"/>
    <m/>
    <m/>
    <m/>
    <n v="0"/>
    <m/>
    <m/>
    <m/>
    <m/>
    <m/>
    <m/>
    <m/>
    <m/>
    <m/>
    <m/>
    <m/>
    <m/>
    <m/>
    <m/>
    <m/>
    <m/>
    <m/>
  </r>
  <r>
    <x v="0"/>
    <n v="26"/>
    <s v="SON"/>
    <x v="25"/>
    <s v="2013-2014"/>
    <x v="3"/>
    <n v="12900"/>
    <n v="5501"/>
    <n v="7399"/>
    <n v="46866"/>
    <n v="241"/>
    <n v="35"/>
    <n v="45"/>
    <n v="11004"/>
    <n v="157243.00090581051"/>
    <n v="5613"/>
    <n v="12561"/>
    <n v="2760"/>
    <m/>
    <m/>
    <n v="5662"/>
    <n v="2545"/>
    <n v="2121"/>
    <n v="1905"/>
    <n v="12900"/>
    <n v="186557052"/>
    <n v="521"/>
    <n v="993"/>
    <n v="11874"/>
    <n v="1364"/>
    <m/>
    <m/>
    <m/>
    <n v="0"/>
    <m/>
    <m/>
    <m/>
    <m/>
    <m/>
    <m/>
    <m/>
    <m/>
    <m/>
    <m/>
    <m/>
    <m/>
    <m/>
    <m/>
    <m/>
    <m/>
    <m/>
  </r>
  <r>
    <x v="0"/>
    <n v="27"/>
    <s v="TAB"/>
    <x v="26"/>
    <s v="2013-2014"/>
    <x v="3"/>
    <n v="5452"/>
    <n v="2164"/>
    <n v="3288"/>
    <n v="36668"/>
    <n v="79"/>
    <n v="21"/>
    <n v="31"/>
    <n v="4558"/>
    <n v="134705.84663611482"/>
    <n v="2164"/>
    <n v="5305"/>
    <n v="1288"/>
    <m/>
    <m/>
    <n v="2193"/>
    <n v="1138"/>
    <n v="1080"/>
    <n v="1073"/>
    <n v="5452"/>
    <n v="92390906"/>
    <n v="296"/>
    <n v="414"/>
    <n v="3145"/>
    <n v="22"/>
    <m/>
    <m/>
    <m/>
    <n v="503"/>
    <m/>
    <m/>
    <m/>
    <m/>
    <m/>
    <m/>
    <m/>
    <m/>
    <m/>
    <m/>
    <m/>
    <m/>
    <m/>
    <m/>
    <m/>
    <m/>
    <m/>
  </r>
  <r>
    <x v="0"/>
    <n v="28"/>
    <s v="TAMPS"/>
    <x v="27"/>
    <s v="2013-2014"/>
    <x v="3"/>
    <n v="9144"/>
    <n v="3644"/>
    <n v="5500"/>
    <n v="45534"/>
    <n v="143"/>
    <n v="24"/>
    <n v="53"/>
    <n v="7784"/>
    <n v="186145.71750308797"/>
    <n v="4396"/>
    <n v="8923"/>
    <n v="1841"/>
    <m/>
    <m/>
    <n v="3133"/>
    <n v="1672"/>
    <n v="1817"/>
    <n v="1754"/>
    <n v="9144"/>
    <n v="143856893"/>
    <n v="412"/>
    <n v="939"/>
    <n v="16612"/>
    <n v="466"/>
    <m/>
    <m/>
    <m/>
    <n v="43"/>
    <n v="34"/>
    <m/>
    <m/>
    <m/>
    <m/>
    <m/>
    <m/>
    <m/>
    <m/>
    <m/>
    <m/>
    <m/>
    <m/>
    <m/>
    <m/>
    <m/>
    <m/>
  </r>
  <r>
    <x v="0"/>
    <n v="29"/>
    <s v="TLAX"/>
    <x v="28"/>
    <s v="2013-2014"/>
    <x v="3"/>
    <n v="3098"/>
    <n v="1269"/>
    <n v="1829"/>
    <n v="20885"/>
    <n v="43"/>
    <n v="11"/>
    <n v="17"/>
    <n v="2525"/>
    <n v="73145.535441940141"/>
    <n v="1516"/>
    <n v="3109"/>
    <n v="682"/>
    <m/>
    <m/>
    <n v="1104"/>
    <n v="628"/>
    <n v="571"/>
    <n v="549"/>
    <n v="3098"/>
    <n v="35029811"/>
    <n v="207"/>
    <n v="358"/>
    <n v="1385"/>
    <n v="56"/>
    <m/>
    <m/>
    <m/>
    <n v="0"/>
    <m/>
    <m/>
    <m/>
    <m/>
    <m/>
    <m/>
    <m/>
    <m/>
    <m/>
    <m/>
    <m/>
    <m/>
    <m/>
    <m/>
    <m/>
    <m/>
    <m/>
  </r>
  <r>
    <x v="0"/>
    <n v="30"/>
    <s v="VER"/>
    <x v="29"/>
    <s v="2013-2014"/>
    <x v="3"/>
    <n v="9096"/>
    <n v="3472"/>
    <n v="5624"/>
    <n v="123917"/>
    <n v="175"/>
    <n v="36"/>
    <n v="74"/>
    <n v="7871"/>
    <n v="456163.09147284296"/>
    <n v="5246"/>
    <n v="9255"/>
    <n v="2316"/>
    <m/>
    <m/>
    <n v="3522"/>
    <n v="2105"/>
    <n v="2128"/>
    <n v="2026"/>
    <n v="9096"/>
    <n v="188756223"/>
    <n v="580"/>
    <n v="1302"/>
    <n v="10384"/>
    <n v="245"/>
    <m/>
    <m/>
    <m/>
    <n v="679"/>
    <n v="1185"/>
    <m/>
    <m/>
    <m/>
    <m/>
    <m/>
    <m/>
    <m/>
    <m/>
    <m/>
    <m/>
    <m/>
    <m/>
    <m/>
    <m/>
    <m/>
    <m/>
  </r>
  <r>
    <x v="0"/>
    <n v="31"/>
    <s v="YUC"/>
    <x v="30"/>
    <s v="2013-2014"/>
    <x v="3"/>
    <n v="4673"/>
    <n v="1841"/>
    <n v="2832"/>
    <n v="29568"/>
    <n v="68"/>
    <n v="14"/>
    <n v="22"/>
    <n v="3554"/>
    <n v="113002.20832453723"/>
    <n v="2565"/>
    <n v="4409"/>
    <n v="1138"/>
    <m/>
    <m/>
    <n v="1972"/>
    <n v="998"/>
    <n v="774"/>
    <n v="729"/>
    <n v="4673"/>
    <n v="83899942"/>
    <n v="252"/>
    <n v="390"/>
    <n v="7791"/>
    <n v="396"/>
    <m/>
    <m/>
    <m/>
    <n v="1487"/>
    <m/>
    <m/>
    <m/>
    <m/>
    <m/>
    <m/>
    <m/>
    <m/>
    <m/>
    <m/>
    <m/>
    <m/>
    <m/>
    <m/>
    <m/>
    <m/>
    <m/>
  </r>
  <r>
    <x v="0"/>
    <n v="32"/>
    <s v="ZAC"/>
    <x v="31"/>
    <s v="2013-2014"/>
    <x v="3"/>
    <n v="1759"/>
    <n v="801"/>
    <n v="958"/>
    <n v="26220"/>
    <n v="47"/>
    <n v="15"/>
    <n v="6"/>
    <n v="1389"/>
    <n v="91649.600964842932"/>
    <n v="928"/>
    <n v="1722"/>
    <n v="334"/>
    <m/>
    <m/>
    <n v="800"/>
    <n v="287"/>
    <n v="288"/>
    <n v="270"/>
    <n v="1759"/>
    <n v="30600067"/>
    <n v="88"/>
    <n v="163"/>
    <n v="2125"/>
    <n v="360"/>
    <m/>
    <m/>
    <m/>
    <n v="57"/>
    <m/>
    <m/>
    <m/>
    <m/>
    <m/>
    <m/>
    <m/>
    <m/>
    <m/>
    <m/>
    <m/>
    <m/>
    <m/>
    <m/>
    <m/>
    <m/>
    <m/>
  </r>
  <r>
    <x v="2"/>
    <n v="33"/>
    <s v="OTRO"/>
    <x v="32"/>
    <s v="2013-2014"/>
    <x v="3"/>
    <m/>
    <m/>
    <m/>
    <m/>
    <m/>
    <m/>
    <m/>
    <m/>
    <m/>
    <m/>
    <m/>
    <m/>
    <m/>
    <m/>
    <m/>
    <m/>
    <m/>
    <m/>
    <m/>
    <m/>
    <m/>
    <m/>
    <m/>
    <m/>
    <m/>
    <m/>
    <m/>
    <m/>
    <m/>
    <m/>
    <m/>
    <m/>
    <m/>
    <m/>
    <m/>
    <m/>
    <m/>
    <m/>
    <m/>
    <m/>
    <m/>
    <m/>
    <m/>
    <m/>
    <m/>
  </r>
  <r>
    <x v="1"/>
    <n v="0"/>
    <s v="ON"/>
    <x v="33"/>
    <s v="2013-2014"/>
    <x v="3"/>
    <m/>
    <m/>
    <m/>
    <m/>
    <m/>
    <m/>
    <m/>
    <m/>
    <m/>
    <m/>
    <m/>
    <m/>
    <m/>
    <m/>
    <m/>
    <m/>
    <m/>
    <m/>
    <m/>
    <m/>
    <m/>
    <m/>
    <m/>
    <m/>
    <m/>
    <m/>
    <m/>
    <m/>
    <m/>
    <n v="267870.54704999999"/>
    <n v="1477702"/>
    <n v="1477702"/>
    <n v="1497810.8"/>
    <n v="1379713.2"/>
    <n v="1379713.2"/>
    <n v="1414326.6"/>
    <n v="1433622.3"/>
    <n v="63375.4"/>
    <n v="64188.5"/>
    <n v="97988.800000000003"/>
    <n v="1477702"/>
    <n v="113139.511"/>
    <n v="118097.60000000001"/>
    <n v="1477702"/>
    <n v="1497810.8"/>
  </r>
  <r>
    <x v="0"/>
    <n v="1"/>
    <s v="AGS"/>
    <x v="0"/>
    <s v="2014-2015"/>
    <x v="4"/>
    <n v="4702"/>
    <n v="1860"/>
    <n v="2842"/>
    <n v="22695"/>
    <n v="84"/>
    <n v="14"/>
    <n v="19"/>
    <n v="3971"/>
    <n v="75527.697364606225"/>
    <n v="3529"/>
    <n v="4724"/>
    <n v="1355"/>
    <m/>
    <m/>
    <n v="2029"/>
    <n v="1195"/>
    <n v="1076"/>
    <n v="959"/>
    <n v="4702"/>
    <n v="54318738"/>
    <n v="298"/>
    <n v="451"/>
    <n v="3707"/>
    <n v="200"/>
    <m/>
    <m/>
    <m/>
    <n v="513"/>
    <m/>
    <m/>
    <m/>
    <m/>
    <m/>
    <m/>
    <m/>
    <m/>
    <m/>
    <m/>
    <m/>
    <m/>
    <m/>
    <m/>
    <m/>
    <m/>
    <m/>
  </r>
  <r>
    <x v="0"/>
    <n v="2"/>
    <s v="BC"/>
    <x v="1"/>
    <s v="2014-2015"/>
    <x v="4"/>
    <n v="8064"/>
    <n v="3277"/>
    <n v="4787"/>
    <n v="52307"/>
    <n v="118"/>
    <n v="16"/>
    <n v="25"/>
    <n v="6550"/>
    <n v="192061.00847132175"/>
    <n v="3831"/>
    <n v="7923"/>
    <n v="1696"/>
    <m/>
    <m/>
    <n v="3537"/>
    <n v="1508"/>
    <n v="1654"/>
    <n v="1469"/>
    <n v="8064"/>
    <n v="116478902"/>
    <n v="395"/>
    <n v="627"/>
    <n v="5889"/>
    <n v="239"/>
    <m/>
    <m/>
    <m/>
    <n v="21"/>
    <n v="998"/>
    <m/>
    <m/>
    <m/>
    <m/>
    <m/>
    <m/>
    <m/>
    <m/>
    <m/>
    <m/>
    <m/>
    <m/>
    <m/>
    <m/>
    <m/>
    <m/>
  </r>
  <r>
    <x v="0"/>
    <n v="3"/>
    <s v="BCS"/>
    <x v="2"/>
    <s v="2014-2015"/>
    <x v="4"/>
    <n v="1962"/>
    <n v="709"/>
    <n v="1253"/>
    <n v="10688"/>
    <n v="17"/>
    <n v="6"/>
    <n v="2"/>
    <n v="1514"/>
    <n v="39449.577969580379"/>
    <n v="1155"/>
    <n v="2058"/>
    <n v="399"/>
    <m/>
    <m/>
    <n v="585"/>
    <n v="331"/>
    <n v="366"/>
    <n v="363"/>
    <n v="1962"/>
    <n v="29174547"/>
    <n v="95"/>
    <n v="217"/>
    <n v="1164"/>
    <n v="267"/>
    <m/>
    <m/>
    <m/>
    <n v="0"/>
    <m/>
    <m/>
    <m/>
    <m/>
    <m/>
    <m/>
    <m/>
    <m/>
    <m/>
    <m/>
    <m/>
    <m/>
    <m/>
    <m/>
    <m/>
    <m/>
    <m/>
  </r>
  <r>
    <x v="0"/>
    <n v="4"/>
    <s v="CAMP"/>
    <x v="3"/>
    <s v="2014-2015"/>
    <x v="4"/>
    <n v="1918"/>
    <n v="744"/>
    <n v="1174"/>
    <n v="12251"/>
    <n v="38"/>
    <n v="6"/>
    <n v="17"/>
    <n v="1342"/>
    <n v="49198.152137247227"/>
    <n v="914"/>
    <n v="1930"/>
    <n v="362"/>
    <m/>
    <m/>
    <n v="769"/>
    <n v="321"/>
    <n v="347"/>
    <n v="338"/>
    <n v="1918"/>
    <n v="34927941"/>
    <n v="107"/>
    <n v="311"/>
    <n v="1325"/>
    <n v="170"/>
    <m/>
    <m/>
    <m/>
    <n v="337"/>
    <m/>
    <m/>
    <m/>
    <m/>
    <m/>
    <m/>
    <m/>
    <m/>
    <m/>
    <m/>
    <m/>
    <m/>
    <m/>
    <m/>
    <m/>
    <m/>
    <m/>
  </r>
  <r>
    <x v="0"/>
    <n v="7"/>
    <s v="CHIAP"/>
    <x v="4"/>
    <s v="2014-2015"/>
    <x v="4"/>
    <n v="7561"/>
    <n v="2807"/>
    <n v="4754"/>
    <n v="88123"/>
    <n v="148"/>
    <n v="19"/>
    <n v="42"/>
    <n v="5709"/>
    <n v="340566.79062819039"/>
    <n v="3745"/>
    <n v="7916"/>
    <n v="2004"/>
    <m/>
    <m/>
    <n v="3283"/>
    <n v="1826"/>
    <n v="1710"/>
    <n v="1545"/>
    <n v="7561"/>
    <n v="135011976"/>
    <n v="450"/>
    <n v="679"/>
    <n v="4291"/>
    <n v="50"/>
    <m/>
    <m/>
    <m/>
    <n v="376"/>
    <m/>
    <m/>
    <m/>
    <m/>
    <m/>
    <m/>
    <m/>
    <m/>
    <m/>
    <m/>
    <m/>
    <m/>
    <m/>
    <m/>
    <m/>
    <m/>
    <m/>
  </r>
  <r>
    <x v="0"/>
    <n v="8"/>
    <s v="CHIH"/>
    <x v="5"/>
    <s v="2014-2015"/>
    <x v="4"/>
    <n v="9728"/>
    <n v="3922"/>
    <n v="5806"/>
    <n v="53751"/>
    <n v="154"/>
    <n v="25"/>
    <n v="45"/>
    <n v="8012"/>
    <n v="201857.30158643681"/>
    <n v="4560"/>
    <n v="9072"/>
    <n v="1944"/>
    <m/>
    <m/>
    <n v="3922"/>
    <n v="1732"/>
    <n v="1658"/>
    <n v="1588"/>
    <n v="9728"/>
    <n v="129239077"/>
    <n v="581"/>
    <n v="917"/>
    <n v="5796"/>
    <n v="2102"/>
    <m/>
    <m/>
    <m/>
    <n v="1258"/>
    <n v="1059"/>
    <m/>
    <m/>
    <m/>
    <m/>
    <m/>
    <m/>
    <m/>
    <m/>
    <m/>
    <m/>
    <m/>
    <m/>
    <m/>
    <m/>
    <m/>
    <m/>
  </r>
  <r>
    <x v="1"/>
    <n v="9"/>
    <s v="CDMX"/>
    <x v="6"/>
    <s v="2014-2015"/>
    <x v="4"/>
    <n v="43160"/>
    <n v="18370"/>
    <n v="24790"/>
    <n v="127866"/>
    <n v="545"/>
    <n v="93"/>
    <n v="166"/>
    <n v="32687"/>
    <n v="410538.77783324482"/>
    <n v="23150"/>
    <n v="42808"/>
    <n v="9160"/>
    <m/>
    <m/>
    <n v="18821"/>
    <n v="7626"/>
    <n v="7987"/>
    <n v="5123"/>
    <m/>
    <m/>
    <n v="2164"/>
    <n v="3225"/>
    <n v="15276"/>
    <n v="224"/>
    <m/>
    <m/>
    <m/>
    <n v="2099"/>
    <m/>
    <m/>
    <m/>
    <m/>
    <m/>
    <m/>
    <m/>
    <m/>
    <m/>
    <m/>
    <m/>
    <m/>
    <m/>
    <m/>
    <m/>
    <m/>
    <m/>
  </r>
  <r>
    <x v="0"/>
    <n v="5"/>
    <s v="COAH"/>
    <x v="7"/>
    <s v="2014-2015"/>
    <x v="4"/>
    <n v="7918"/>
    <n v="3366"/>
    <n v="4552"/>
    <n v="44561"/>
    <n v="126"/>
    <n v="24"/>
    <n v="43"/>
    <n v="7125"/>
    <n v="163891.60959595948"/>
    <n v="4255"/>
    <n v="7891"/>
    <n v="1992"/>
    <m/>
    <m/>
    <n v="3388"/>
    <n v="1840"/>
    <n v="1767"/>
    <n v="1743"/>
    <n v="7918"/>
    <n v="126959657"/>
    <n v="415"/>
    <n v="846"/>
    <n v="5638"/>
    <n v="757"/>
    <m/>
    <m/>
    <m/>
    <n v="2"/>
    <m/>
    <m/>
    <m/>
    <m/>
    <m/>
    <m/>
    <m/>
    <m/>
    <m/>
    <m/>
    <m/>
    <m/>
    <m/>
    <m/>
    <m/>
    <m/>
    <m/>
  </r>
  <r>
    <x v="0"/>
    <n v="6"/>
    <s v="COL"/>
    <x v="8"/>
    <s v="2014-2015"/>
    <x v="4"/>
    <n v="1906"/>
    <n v="823"/>
    <n v="1083"/>
    <n v="8273"/>
    <n v="41"/>
    <n v="5"/>
    <n v="10"/>
    <n v="1181"/>
    <n v="37641.209130106377"/>
    <n v="942"/>
    <n v="1883"/>
    <n v="398"/>
    <m/>
    <m/>
    <n v="806"/>
    <n v="323"/>
    <n v="311"/>
    <n v="290"/>
    <n v="1906"/>
    <n v="35267340"/>
    <n v="121"/>
    <n v="313"/>
    <n v="1997"/>
    <n v="9"/>
    <m/>
    <m/>
    <m/>
    <n v="51"/>
    <m/>
    <m/>
    <m/>
    <m/>
    <m/>
    <m/>
    <m/>
    <m/>
    <m/>
    <m/>
    <m/>
    <m/>
    <m/>
    <m/>
    <m/>
    <m/>
    <m/>
  </r>
  <r>
    <x v="0"/>
    <n v="10"/>
    <s v="DGO"/>
    <x v="9"/>
    <s v="2014-2015"/>
    <x v="4"/>
    <n v="2483"/>
    <n v="1025"/>
    <n v="1458"/>
    <n v="28693"/>
    <n v="45"/>
    <n v="13"/>
    <n v="11"/>
    <n v="2065"/>
    <n v="104210.00031715367"/>
    <n v="1156"/>
    <n v="2413"/>
    <n v="463"/>
    <m/>
    <m/>
    <n v="1047"/>
    <n v="423"/>
    <n v="388"/>
    <n v="286"/>
    <n v="2483"/>
    <n v="34487021"/>
    <n v="164"/>
    <n v="248"/>
    <n v="2625"/>
    <n v="72"/>
    <m/>
    <m/>
    <m/>
    <n v="606"/>
    <m/>
    <m/>
    <m/>
    <m/>
    <m/>
    <m/>
    <m/>
    <m/>
    <m/>
    <m/>
    <m/>
    <m/>
    <m/>
    <m/>
    <m/>
    <m/>
    <m/>
  </r>
  <r>
    <x v="0"/>
    <n v="11"/>
    <s v="GTO"/>
    <x v="10"/>
    <s v="2014-2015"/>
    <x v="4"/>
    <n v="17733"/>
    <n v="6355"/>
    <n v="11378"/>
    <n v="94122"/>
    <n v="238"/>
    <n v="56"/>
    <n v="70"/>
    <n v="14983"/>
    <n v="349671.87180136447"/>
    <n v="10284"/>
    <n v="18280"/>
    <n v="4173"/>
    <m/>
    <m/>
    <n v="6290"/>
    <n v="3874"/>
    <n v="3989"/>
    <n v="3898"/>
    <n v="17733"/>
    <n v="206713084"/>
    <n v="928"/>
    <n v="1959"/>
    <n v="22282"/>
    <n v="843"/>
    <m/>
    <m/>
    <m/>
    <n v="1763"/>
    <n v="10952"/>
    <m/>
    <m/>
    <m/>
    <m/>
    <m/>
    <m/>
    <m/>
    <m/>
    <m/>
    <m/>
    <m/>
    <m/>
    <m/>
    <m/>
    <m/>
    <m/>
  </r>
  <r>
    <x v="0"/>
    <n v="12"/>
    <s v="GRO"/>
    <x v="11"/>
    <s v="2014-2015"/>
    <x v="4"/>
    <n v="6743"/>
    <n v="2541"/>
    <n v="4202"/>
    <n v="57668"/>
    <n v="123"/>
    <n v="24"/>
    <n v="42"/>
    <n v="5422"/>
    <n v="228424.40717370744"/>
    <n v="3492"/>
    <n v="6996"/>
    <n v="1579"/>
    <m/>
    <m/>
    <n v="2982"/>
    <n v="1482"/>
    <n v="1531"/>
    <n v="1151"/>
    <n v="6743"/>
    <n v="112866728"/>
    <n v="318"/>
    <n v="554"/>
    <n v="2933"/>
    <n v="461"/>
    <m/>
    <m/>
    <m/>
    <n v="1800"/>
    <m/>
    <m/>
    <m/>
    <m/>
    <m/>
    <m/>
    <m/>
    <m/>
    <m/>
    <m/>
    <m/>
    <m/>
    <m/>
    <m/>
    <m/>
    <m/>
    <m/>
  </r>
  <r>
    <x v="0"/>
    <n v="13"/>
    <s v="HGO"/>
    <x v="12"/>
    <s v="2014-2015"/>
    <x v="4"/>
    <n v="3498"/>
    <n v="1417"/>
    <n v="2081"/>
    <n v="49083"/>
    <n v="65"/>
    <n v="23"/>
    <n v="28"/>
    <n v="2705"/>
    <n v="160118.07123933081"/>
    <n v="1777"/>
    <n v="3924"/>
    <n v="886"/>
    <m/>
    <m/>
    <n v="1656"/>
    <n v="754"/>
    <n v="696"/>
    <n v="696"/>
    <n v="3498"/>
    <n v="54215457"/>
    <n v="210"/>
    <n v="415"/>
    <n v="2003"/>
    <n v="64"/>
    <m/>
    <m/>
    <m/>
    <n v="147"/>
    <m/>
    <m/>
    <m/>
    <m/>
    <m/>
    <m/>
    <m/>
    <m/>
    <m/>
    <m/>
    <m/>
    <m/>
    <m/>
    <m/>
    <m/>
    <m/>
    <m/>
  </r>
  <r>
    <x v="0"/>
    <n v="14"/>
    <s v="JAL"/>
    <x v="13"/>
    <s v="2014-2015"/>
    <x v="4"/>
    <n v="14848"/>
    <n v="5847"/>
    <n v="9001"/>
    <n v="112081"/>
    <n v="255"/>
    <n v="32"/>
    <n v="78"/>
    <n v="11798"/>
    <n v="435120.49567736045"/>
    <n v="6963"/>
    <n v="14705"/>
    <n v="3470"/>
    <m/>
    <m/>
    <n v="5964"/>
    <n v="3107"/>
    <n v="3118"/>
    <n v="2991"/>
    <n v="14848"/>
    <n v="219637773"/>
    <n v="905"/>
    <n v="2137"/>
    <n v="13630"/>
    <n v="1180"/>
    <m/>
    <m/>
    <m/>
    <n v="396"/>
    <n v="491"/>
    <m/>
    <m/>
    <m/>
    <m/>
    <m/>
    <m/>
    <m/>
    <m/>
    <m/>
    <m/>
    <m/>
    <m/>
    <m/>
    <m/>
    <m/>
    <m/>
  </r>
  <r>
    <x v="0"/>
    <n v="15"/>
    <s v="MEX"/>
    <x v="14"/>
    <s v="2014-2015"/>
    <x v="4"/>
    <n v="46706"/>
    <n v="19347"/>
    <n v="27359"/>
    <n v="251537"/>
    <n v="741"/>
    <n v="142"/>
    <n v="214"/>
    <n v="36737"/>
    <n v="911287.59623206698"/>
    <n v="19641"/>
    <n v="47473"/>
    <n v="10457"/>
    <m/>
    <m/>
    <n v="20185"/>
    <n v="8724"/>
    <n v="9041"/>
    <n v="7895"/>
    <n v="46706"/>
    <n v="639065378"/>
    <n v="2378"/>
    <n v="3926"/>
    <n v="25771"/>
    <n v="7841"/>
    <m/>
    <m/>
    <m/>
    <n v="7754"/>
    <n v="671"/>
    <m/>
    <m/>
    <m/>
    <m/>
    <m/>
    <m/>
    <m/>
    <m/>
    <m/>
    <m/>
    <m/>
    <m/>
    <m/>
    <m/>
    <m/>
    <m/>
  </r>
  <r>
    <x v="0"/>
    <n v="16"/>
    <s v="MICH"/>
    <x v="15"/>
    <s v="2014-2015"/>
    <x v="4"/>
    <n v="11679"/>
    <n v="4533"/>
    <n v="7146"/>
    <n v="62780"/>
    <n v="226"/>
    <n v="41"/>
    <n v="63"/>
    <n v="8768"/>
    <n v="265729.05246062623"/>
    <n v="5716"/>
    <n v="11807"/>
    <n v="2858"/>
    <m/>
    <m/>
    <n v="5092"/>
    <n v="2342"/>
    <n v="2525"/>
    <n v="2264"/>
    <n v="11679"/>
    <n v="174887424"/>
    <n v="474"/>
    <n v="1093"/>
    <n v="4341"/>
    <n v="136"/>
    <m/>
    <m/>
    <m/>
    <n v="49"/>
    <m/>
    <m/>
    <m/>
    <m/>
    <m/>
    <m/>
    <m/>
    <m/>
    <m/>
    <m/>
    <m/>
    <m/>
    <m/>
    <m/>
    <m/>
    <m/>
    <m/>
  </r>
  <r>
    <x v="0"/>
    <n v="17"/>
    <s v="MOR"/>
    <x v="16"/>
    <s v="2014-2015"/>
    <x v="4"/>
    <n v="4787"/>
    <n v="2047"/>
    <n v="2740"/>
    <n v="29951"/>
    <n v="68"/>
    <n v="19"/>
    <n v="13"/>
    <n v="4104"/>
    <n v="103220.9696732038"/>
    <n v="2379"/>
    <n v="4693"/>
    <n v="1230"/>
    <m/>
    <m/>
    <n v="2046"/>
    <n v="1119"/>
    <n v="1292"/>
    <n v="1193"/>
    <n v="4787"/>
    <n v="59590257"/>
    <n v="254"/>
    <n v="592"/>
    <n v="2026"/>
    <n v="53"/>
    <m/>
    <m/>
    <m/>
    <n v="2100"/>
    <m/>
    <m/>
    <m/>
    <m/>
    <m/>
    <m/>
    <m/>
    <m/>
    <m/>
    <m/>
    <m/>
    <m/>
    <m/>
    <m/>
    <m/>
    <m/>
    <m/>
  </r>
  <r>
    <x v="0"/>
    <n v="18"/>
    <s v="NAY"/>
    <x v="17"/>
    <s v="2014-2015"/>
    <x v="4"/>
    <n v="2901"/>
    <n v="1099"/>
    <n v="1802"/>
    <n v="18738"/>
    <n v="54"/>
    <n v="8"/>
    <n v="9"/>
    <n v="2675"/>
    <n v="65615.376922982876"/>
    <n v="1361"/>
    <n v="3037"/>
    <n v="655"/>
    <m/>
    <m/>
    <n v="1201"/>
    <n v="587"/>
    <n v="653"/>
    <n v="646"/>
    <n v="2901"/>
    <n v="44532298"/>
    <n v="124"/>
    <n v="399"/>
    <n v="978"/>
    <n v="48"/>
    <m/>
    <m/>
    <m/>
    <n v="0"/>
    <m/>
    <m/>
    <m/>
    <m/>
    <m/>
    <m/>
    <m/>
    <m/>
    <m/>
    <m/>
    <m/>
    <m/>
    <m/>
    <m/>
    <m/>
    <m/>
    <m/>
  </r>
  <r>
    <x v="0"/>
    <n v="19"/>
    <s v="NL"/>
    <x v="18"/>
    <s v="2014-2015"/>
    <x v="4"/>
    <n v="17771"/>
    <n v="7442"/>
    <n v="10329"/>
    <n v="74027"/>
    <n v="250"/>
    <n v="52"/>
    <n v="80"/>
    <n v="14825"/>
    <n v="260623.0422343692"/>
    <n v="9172"/>
    <n v="17191"/>
    <n v="3888"/>
    <m/>
    <m/>
    <n v="6947"/>
    <n v="3522"/>
    <n v="3199"/>
    <n v="3134"/>
    <n v="17771"/>
    <n v="184722995"/>
    <n v="904"/>
    <n v="1734"/>
    <n v="42589"/>
    <n v="1144"/>
    <m/>
    <m/>
    <m/>
    <n v="39610"/>
    <n v="588"/>
    <m/>
    <m/>
    <m/>
    <m/>
    <m/>
    <m/>
    <m/>
    <m/>
    <m/>
    <m/>
    <m/>
    <m/>
    <m/>
    <m/>
    <m/>
    <m/>
  </r>
  <r>
    <x v="1"/>
    <n v="20"/>
    <s v="OAX"/>
    <x v="19"/>
    <s v="2014-2015"/>
    <x v="4"/>
    <n v="6254"/>
    <n v="2259"/>
    <n v="3995"/>
    <n v="64296"/>
    <n v="107"/>
    <n v="12"/>
    <n v="33"/>
    <n v="4947"/>
    <n v="242911.31360360072"/>
    <n v="2817"/>
    <n v="6603"/>
    <n v="1551"/>
    <m/>
    <m/>
    <n v="2793"/>
    <n v="1369"/>
    <n v="1194"/>
    <n v="931"/>
    <m/>
    <m/>
    <n v="380"/>
    <n v="530"/>
    <n v="2196"/>
    <n v="119"/>
    <m/>
    <m/>
    <m/>
    <n v="737"/>
    <m/>
    <m/>
    <m/>
    <m/>
    <m/>
    <m/>
    <m/>
    <m/>
    <m/>
    <m/>
    <m/>
    <m/>
    <m/>
    <m/>
    <m/>
    <m/>
    <m/>
  </r>
  <r>
    <x v="0"/>
    <n v="21"/>
    <s v="PUE"/>
    <x v="20"/>
    <s v="2014-2015"/>
    <x v="4"/>
    <n v="7170"/>
    <n v="2818"/>
    <n v="4352"/>
    <n v="100208"/>
    <n v="144"/>
    <n v="36"/>
    <n v="56"/>
    <n v="6088"/>
    <n v="366757.92912014597"/>
    <n v="3961"/>
    <n v="7277"/>
    <n v="1957"/>
    <m/>
    <m/>
    <n v="3180"/>
    <n v="1712"/>
    <n v="1760"/>
    <n v="1693"/>
    <n v="7170"/>
    <n v="127235974"/>
    <n v="403"/>
    <n v="898"/>
    <n v="4857"/>
    <n v="214"/>
    <m/>
    <m/>
    <m/>
    <n v="5060"/>
    <m/>
    <m/>
    <m/>
    <m/>
    <m/>
    <m/>
    <m/>
    <m/>
    <m/>
    <m/>
    <m/>
    <m/>
    <m/>
    <m/>
    <m/>
    <m/>
    <m/>
  </r>
  <r>
    <x v="0"/>
    <n v="22"/>
    <s v="QRO"/>
    <x v="21"/>
    <s v="2014-2015"/>
    <x v="4"/>
    <n v="3442"/>
    <n v="1476"/>
    <n v="1966"/>
    <n v="28960"/>
    <n v="55"/>
    <n v="13"/>
    <n v="29"/>
    <n v="2953"/>
    <n v="113567.57967282939"/>
    <n v="2233"/>
    <n v="3224"/>
    <n v="763"/>
    <m/>
    <m/>
    <n v="1218"/>
    <n v="716"/>
    <n v="703"/>
    <n v="615"/>
    <n v="3442"/>
    <n v="39171273"/>
    <n v="254"/>
    <n v="357"/>
    <n v="1933"/>
    <n v="6"/>
    <m/>
    <m/>
    <m/>
    <n v="0"/>
    <m/>
    <m/>
    <m/>
    <m/>
    <m/>
    <m/>
    <m/>
    <m/>
    <m/>
    <m/>
    <m/>
    <m/>
    <m/>
    <m/>
    <m/>
    <m/>
    <m/>
  </r>
  <r>
    <x v="0"/>
    <n v="23"/>
    <s v="QROO"/>
    <x v="22"/>
    <s v="2014-2015"/>
    <x v="4"/>
    <n v="8119"/>
    <n v="2777"/>
    <n v="5342"/>
    <n v="19254"/>
    <n v="104"/>
    <n v="18"/>
    <n v="29"/>
    <n v="6515"/>
    <n v="81354.429813431314"/>
    <n v="3265"/>
    <n v="8835"/>
    <n v="2037"/>
    <m/>
    <m/>
    <n v="3176"/>
    <n v="1843"/>
    <n v="1858"/>
    <n v="1793"/>
    <n v="8119"/>
    <n v="84993349"/>
    <n v="413"/>
    <n v="751"/>
    <n v="4110"/>
    <n v="231"/>
    <m/>
    <m/>
    <m/>
    <n v="1255"/>
    <m/>
    <m/>
    <m/>
    <m/>
    <m/>
    <m/>
    <m/>
    <m/>
    <m/>
    <m/>
    <m/>
    <m/>
    <m/>
    <m/>
    <m/>
    <m/>
    <m/>
  </r>
  <r>
    <x v="0"/>
    <n v="24"/>
    <s v="SLP"/>
    <x v="23"/>
    <s v="2014-2015"/>
    <x v="4"/>
    <n v="5248"/>
    <n v="2096"/>
    <n v="3152"/>
    <n v="44581"/>
    <n v="85"/>
    <n v="25"/>
    <n v="28"/>
    <n v="4189"/>
    <n v="162096.19286616868"/>
    <n v="2587"/>
    <n v="5373"/>
    <n v="1212"/>
    <m/>
    <m/>
    <n v="2310"/>
    <n v="1075"/>
    <n v="1099"/>
    <n v="1058"/>
    <n v="5248"/>
    <n v="74400637"/>
    <n v="330"/>
    <n v="353"/>
    <n v="6288"/>
    <n v="137"/>
    <m/>
    <m/>
    <m/>
    <n v="148"/>
    <m/>
    <m/>
    <m/>
    <m/>
    <m/>
    <m/>
    <m/>
    <m/>
    <m/>
    <m/>
    <m/>
    <m/>
    <m/>
    <m/>
    <m/>
    <m/>
    <m/>
  </r>
  <r>
    <x v="0"/>
    <n v="25"/>
    <s v="SIN"/>
    <x v="24"/>
    <s v="2014-2015"/>
    <x v="4"/>
    <n v="8710"/>
    <n v="3009"/>
    <n v="5701"/>
    <n v="42315"/>
    <n v="183"/>
    <n v="51"/>
    <n v="52"/>
    <n v="7519"/>
    <n v="166457.72226850703"/>
    <n v="3539"/>
    <n v="9306"/>
    <n v="2357"/>
    <m/>
    <m/>
    <n v="3737"/>
    <n v="2199"/>
    <n v="2310"/>
    <n v="2282"/>
    <n v="8710"/>
    <n v="188341290"/>
    <n v="610"/>
    <n v="941"/>
    <n v="3570"/>
    <n v="326"/>
    <m/>
    <m/>
    <m/>
    <n v="246"/>
    <m/>
    <m/>
    <m/>
    <m/>
    <m/>
    <m/>
    <m/>
    <m/>
    <m/>
    <m/>
    <m/>
    <m/>
    <m/>
    <m/>
    <m/>
    <m/>
    <m/>
  </r>
  <r>
    <x v="0"/>
    <n v="26"/>
    <s v="SON"/>
    <x v="25"/>
    <s v="2014-2015"/>
    <x v="4"/>
    <n v="13206"/>
    <n v="5686"/>
    <n v="7520"/>
    <n v="47196"/>
    <n v="243"/>
    <n v="36"/>
    <n v="47"/>
    <n v="11132"/>
    <n v="157947.49966147181"/>
    <n v="5848"/>
    <n v="12900"/>
    <n v="2678"/>
    <m/>
    <m/>
    <n v="5937"/>
    <n v="2409"/>
    <n v="2545"/>
    <n v="2323"/>
    <n v="13206"/>
    <n v="191095252"/>
    <n v="517"/>
    <n v="1019"/>
    <n v="10087"/>
    <n v="1322"/>
    <m/>
    <m/>
    <m/>
    <n v="61"/>
    <m/>
    <m/>
    <m/>
    <m/>
    <m/>
    <m/>
    <m/>
    <m/>
    <m/>
    <m/>
    <m/>
    <m/>
    <m/>
    <m/>
    <m/>
    <m/>
    <m/>
  </r>
  <r>
    <x v="0"/>
    <n v="27"/>
    <s v="TAB"/>
    <x v="26"/>
    <s v="2014-2015"/>
    <x v="4"/>
    <n v="5650"/>
    <n v="2162"/>
    <n v="3488"/>
    <n v="37096"/>
    <n v="76"/>
    <n v="22"/>
    <n v="25"/>
    <n v="4790"/>
    <n v="134485.23354493981"/>
    <n v="2162"/>
    <n v="5452"/>
    <n v="1251"/>
    <m/>
    <m/>
    <n v="1976"/>
    <n v="1082"/>
    <n v="1138"/>
    <n v="1102"/>
    <n v="5650"/>
    <n v="94704706"/>
    <n v="297"/>
    <n v="497"/>
    <n v="1647"/>
    <n v="18"/>
    <m/>
    <m/>
    <m/>
    <n v="494"/>
    <m/>
    <m/>
    <m/>
    <m/>
    <m/>
    <m/>
    <m/>
    <m/>
    <m/>
    <m/>
    <m/>
    <m/>
    <m/>
    <m/>
    <m/>
    <m/>
    <m/>
  </r>
  <r>
    <x v="0"/>
    <n v="28"/>
    <s v="TAMPS"/>
    <x v="27"/>
    <s v="2014-2015"/>
    <x v="4"/>
    <n v="9281"/>
    <n v="3511"/>
    <n v="5770"/>
    <n v="45178"/>
    <n v="147"/>
    <n v="22"/>
    <n v="49"/>
    <n v="8044"/>
    <n v="186927.85501677764"/>
    <n v="4017"/>
    <n v="9144"/>
    <n v="1900"/>
    <m/>
    <m/>
    <n v="3417"/>
    <n v="1728"/>
    <n v="1672"/>
    <n v="1591"/>
    <n v="9281"/>
    <n v="147355193"/>
    <n v="408"/>
    <n v="955"/>
    <n v="11238"/>
    <n v="213"/>
    <m/>
    <m/>
    <m/>
    <n v="59"/>
    <n v="49"/>
    <m/>
    <m/>
    <m/>
    <m/>
    <m/>
    <m/>
    <m/>
    <m/>
    <m/>
    <m/>
    <m/>
    <m/>
    <m/>
    <m/>
    <m/>
    <m/>
  </r>
  <r>
    <x v="0"/>
    <n v="29"/>
    <s v="TLAX"/>
    <x v="28"/>
    <s v="2014-2015"/>
    <x v="4"/>
    <n v="3081"/>
    <n v="1224"/>
    <n v="1857"/>
    <n v="20703"/>
    <n v="43"/>
    <n v="11"/>
    <n v="17"/>
    <n v="2556"/>
    <n v="73465.171265943092"/>
    <n v="1374"/>
    <n v="3098"/>
    <n v="716"/>
    <m/>
    <m/>
    <n v="1065"/>
    <n v="618"/>
    <n v="628"/>
    <n v="618"/>
    <n v="3081"/>
    <n v="35904311"/>
    <n v="188"/>
    <n v="372"/>
    <n v="740"/>
    <n v="98"/>
    <m/>
    <m/>
    <m/>
    <n v="0"/>
    <m/>
    <m/>
    <m/>
    <m/>
    <m/>
    <m/>
    <m/>
    <m/>
    <m/>
    <m/>
    <m/>
    <m/>
    <m/>
    <m/>
    <m/>
    <m/>
    <m/>
  </r>
  <r>
    <x v="0"/>
    <n v="30"/>
    <s v="VER"/>
    <x v="29"/>
    <s v="2014-2015"/>
    <x v="4"/>
    <n v="9124"/>
    <n v="3471"/>
    <n v="5653"/>
    <n v="126662"/>
    <n v="175"/>
    <n v="36"/>
    <n v="74"/>
    <n v="7781"/>
    <n v="452203.20298290963"/>
    <n v="4973"/>
    <n v="9096"/>
    <n v="2328"/>
    <m/>
    <m/>
    <n v="3724"/>
    <n v="2162"/>
    <n v="2105"/>
    <n v="2017"/>
    <n v="9124"/>
    <n v="193254123"/>
    <n v="565"/>
    <n v="1217"/>
    <n v="7761"/>
    <n v="198"/>
    <m/>
    <m/>
    <m/>
    <n v="1150"/>
    <n v="563"/>
    <m/>
    <m/>
    <m/>
    <m/>
    <m/>
    <m/>
    <m/>
    <m/>
    <m/>
    <m/>
    <m/>
    <m/>
    <m/>
    <m/>
    <m/>
    <m/>
  </r>
  <r>
    <x v="0"/>
    <n v="31"/>
    <s v="YUC"/>
    <x v="30"/>
    <s v="2014-2015"/>
    <x v="4"/>
    <n v="4704"/>
    <n v="1794"/>
    <n v="2910"/>
    <n v="30399"/>
    <n v="63"/>
    <n v="14"/>
    <n v="24"/>
    <n v="3574"/>
    <n v="112099.1667818322"/>
    <n v="2327"/>
    <n v="4673"/>
    <n v="950"/>
    <m/>
    <m/>
    <n v="1953"/>
    <n v="849"/>
    <n v="998"/>
    <n v="869"/>
    <n v="4704"/>
    <n v="85719142"/>
    <n v="273"/>
    <n v="360"/>
    <n v="5669"/>
    <n v="11"/>
    <m/>
    <m/>
    <m/>
    <n v="1436"/>
    <m/>
    <m/>
    <m/>
    <m/>
    <m/>
    <m/>
    <m/>
    <m/>
    <m/>
    <m/>
    <m/>
    <m/>
    <m/>
    <m/>
    <m/>
    <m/>
    <m/>
  </r>
  <r>
    <x v="0"/>
    <n v="32"/>
    <s v="ZAC"/>
    <x v="31"/>
    <s v="2014-2015"/>
    <x v="4"/>
    <n v="1694"/>
    <n v="695"/>
    <n v="999"/>
    <n v="26654"/>
    <n v="46"/>
    <n v="16"/>
    <n v="7"/>
    <n v="1355"/>
    <n v="91323.11722019731"/>
    <n v="790"/>
    <n v="1759"/>
    <n v="342"/>
    <m/>
    <m/>
    <n v="704"/>
    <n v="276"/>
    <n v="287"/>
    <n v="283"/>
    <n v="1694"/>
    <n v="31289967"/>
    <n v="85"/>
    <n v="164"/>
    <n v="2318"/>
    <n v="316"/>
    <m/>
    <m/>
    <m/>
    <n v="252"/>
    <m/>
    <m/>
    <m/>
    <m/>
    <m/>
    <m/>
    <m/>
    <m/>
    <m/>
    <m/>
    <m/>
    <m/>
    <m/>
    <m/>
    <m/>
    <m/>
    <m/>
  </r>
  <r>
    <x v="2"/>
    <n v="33"/>
    <s v="OTRO"/>
    <x v="32"/>
    <s v="2014-2015"/>
    <x v="4"/>
    <m/>
    <m/>
    <m/>
    <m/>
    <m/>
    <m/>
    <m/>
    <m/>
    <m/>
    <m/>
    <m/>
    <m/>
    <m/>
    <m/>
    <m/>
    <m/>
    <m/>
    <m/>
    <m/>
    <m/>
    <m/>
    <m/>
    <m/>
    <m/>
    <m/>
    <m/>
    <m/>
    <m/>
    <m/>
    <m/>
    <m/>
    <m/>
    <m/>
    <m/>
    <m/>
    <m/>
    <m/>
    <m/>
    <m/>
    <m/>
    <m/>
    <m/>
    <m/>
    <m/>
    <m/>
  </r>
  <r>
    <x v="1"/>
    <n v="0"/>
    <s v="ON"/>
    <x v="33"/>
    <s v="2014-2015"/>
    <x v="4"/>
    <m/>
    <m/>
    <m/>
    <m/>
    <m/>
    <m/>
    <m/>
    <m/>
    <m/>
    <m/>
    <m/>
    <m/>
    <m/>
    <m/>
    <m/>
    <m/>
    <m/>
    <m/>
    <m/>
    <m/>
    <m/>
    <m/>
    <m/>
    <m/>
    <m/>
    <m/>
    <m/>
    <n v="769"/>
    <m/>
    <n v="282670"/>
    <n v="1422011.4"/>
    <n v="1422011.4"/>
    <n v="1425249.5"/>
    <n v="1296985"/>
    <n v="1296985"/>
    <n v="1409321.5"/>
    <n v="1412252.6"/>
    <n v="12690"/>
    <n v="12997"/>
    <n v="111761.9"/>
    <n v="1422011.4"/>
    <n v="105208.6"/>
    <n v="115000"/>
    <n v="1422011.4"/>
    <n v="1425249.5"/>
  </r>
  <r>
    <x v="0"/>
    <n v="1"/>
    <s v="AGS"/>
    <x v="0"/>
    <s v="2015-2016"/>
    <x v="5"/>
    <n v="4664"/>
    <n v="1765"/>
    <n v="2899"/>
    <n v="24393"/>
    <n v="84"/>
    <n v="14"/>
    <n v="19"/>
    <n v="4285"/>
    <n v="75584.213108640746"/>
    <n v="2733"/>
    <n v="4702"/>
    <n v="1283"/>
    <m/>
    <m/>
    <n v="1859"/>
    <n v="1091"/>
    <n v="1195"/>
    <n v="1104"/>
    <n v="4664"/>
    <n v="55996773"/>
    <n v="299"/>
    <n v="451"/>
    <n v="2738"/>
    <n v="351"/>
    <m/>
    <m/>
    <m/>
    <n v="486"/>
    <m/>
    <m/>
    <m/>
    <m/>
    <m/>
    <m/>
    <m/>
    <m/>
    <m/>
    <m/>
    <m/>
    <m/>
    <m/>
    <m/>
    <m/>
    <m/>
    <m/>
  </r>
  <r>
    <x v="0"/>
    <n v="2"/>
    <s v="BC"/>
    <x v="1"/>
    <s v="2015-2016"/>
    <x v="5"/>
    <n v="8256"/>
    <n v="3651"/>
    <n v="4605"/>
    <n v="54941"/>
    <n v="118"/>
    <n v="16"/>
    <n v="25"/>
    <n v="6270"/>
    <n v="190856.64998810878"/>
    <n v="4071"/>
    <n v="8064"/>
    <n v="1768"/>
    <m/>
    <m/>
    <n v="3424"/>
    <n v="1519"/>
    <n v="1508"/>
    <n v="1422"/>
    <n v="8256"/>
    <n v="119937277"/>
    <n v="372"/>
    <n v="627"/>
    <n v="2365"/>
    <n v="37"/>
    <m/>
    <m/>
    <m/>
    <n v="65"/>
    <n v="1083"/>
    <m/>
    <m/>
    <m/>
    <m/>
    <m/>
    <m/>
    <m/>
    <m/>
    <m/>
    <m/>
    <m/>
    <m/>
    <m/>
    <m/>
    <m/>
    <m/>
  </r>
  <r>
    <x v="0"/>
    <n v="3"/>
    <s v="BCS"/>
    <x v="2"/>
    <s v="2015-2016"/>
    <x v="5"/>
    <n v="1875"/>
    <n v="660"/>
    <n v="1215"/>
    <n v="12036"/>
    <n v="17"/>
    <n v="6"/>
    <n v="2"/>
    <n v="1313"/>
    <n v="40261.144968133696"/>
    <n v="909"/>
    <n v="1962"/>
    <n v="492"/>
    <m/>
    <m/>
    <n v="858"/>
    <n v="429"/>
    <n v="331"/>
    <n v="308"/>
    <n v="1875"/>
    <n v="30051110"/>
    <n v="99"/>
    <n v="217"/>
    <n v="707"/>
    <n v="0"/>
    <m/>
    <m/>
    <m/>
    <n v="39"/>
    <m/>
    <m/>
    <m/>
    <m/>
    <m/>
    <m/>
    <m/>
    <m/>
    <m/>
    <m/>
    <m/>
    <m/>
    <m/>
    <m/>
    <m/>
    <m/>
    <m/>
  </r>
  <r>
    <x v="0"/>
    <n v="4"/>
    <s v="CAMP"/>
    <x v="3"/>
    <s v="2015-2016"/>
    <x v="5"/>
    <n v="1890"/>
    <n v="753"/>
    <n v="1137"/>
    <n v="13297"/>
    <n v="38"/>
    <n v="6"/>
    <n v="17"/>
    <n v="1260"/>
    <n v="48789.089747920065"/>
    <n v="893"/>
    <n v="1918"/>
    <n v="414"/>
    <m/>
    <m/>
    <n v="802"/>
    <n v="367"/>
    <n v="321"/>
    <n v="292"/>
    <n v="1890"/>
    <n v="35958415"/>
    <n v="105"/>
    <n v="311"/>
    <n v="421"/>
    <n v="84"/>
    <m/>
    <m/>
    <m/>
    <n v="292"/>
    <m/>
    <m/>
    <m/>
    <m/>
    <m/>
    <m/>
    <m/>
    <m/>
    <m/>
    <m/>
    <m/>
    <m/>
    <m/>
    <m/>
    <m/>
    <m/>
    <m/>
  </r>
  <r>
    <x v="0"/>
    <n v="7"/>
    <s v="CHIAP"/>
    <x v="4"/>
    <s v="2015-2016"/>
    <x v="5"/>
    <n v="7432"/>
    <n v="2774"/>
    <n v="4658"/>
    <n v="92580"/>
    <n v="148"/>
    <n v="19"/>
    <n v="42"/>
    <n v="5860"/>
    <n v="340773.49278888613"/>
    <n v="3501"/>
    <n v="7561"/>
    <n v="1876"/>
    <m/>
    <m/>
    <n v="2882"/>
    <n v="1634"/>
    <n v="1826"/>
    <n v="1714"/>
    <n v="7432"/>
    <n v="139280587"/>
    <n v="431"/>
    <n v="679"/>
    <n v="4628"/>
    <n v="46"/>
    <m/>
    <m/>
    <m/>
    <n v="310"/>
    <m/>
    <m/>
    <m/>
    <m/>
    <m/>
    <m/>
    <m/>
    <m/>
    <m/>
    <m/>
    <m/>
    <m/>
    <m/>
    <m/>
    <m/>
    <m/>
    <m/>
  </r>
  <r>
    <x v="0"/>
    <n v="8"/>
    <s v="CHIH"/>
    <x v="5"/>
    <s v="2015-2016"/>
    <x v="5"/>
    <n v="9712"/>
    <n v="4125"/>
    <n v="5587"/>
    <n v="56115"/>
    <n v="154"/>
    <n v="25"/>
    <n v="45"/>
    <n v="8331"/>
    <n v="202192.57072636313"/>
    <n v="4925"/>
    <n v="9728"/>
    <n v="2287"/>
    <m/>
    <m/>
    <n v="4195"/>
    <n v="1992"/>
    <n v="1732"/>
    <n v="1675"/>
    <n v="9712"/>
    <n v="133276489"/>
    <n v="558"/>
    <n v="917"/>
    <n v="2680"/>
    <n v="356"/>
    <m/>
    <m/>
    <m/>
    <n v="243"/>
    <n v="851"/>
    <m/>
    <m/>
    <m/>
    <m/>
    <m/>
    <m/>
    <m/>
    <m/>
    <m/>
    <m/>
    <m/>
    <m/>
    <m/>
    <m/>
    <m/>
    <m/>
  </r>
  <r>
    <x v="1"/>
    <n v="9"/>
    <s v="CDMX"/>
    <x v="6"/>
    <s v="2015-2016"/>
    <x v="5"/>
    <n v="44572"/>
    <n v="19962"/>
    <n v="24610"/>
    <n v="149491"/>
    <n v="545"/>
    <n v="93"/>
    <n v="166"/>
    <n v="34314"/>
    <n v="404322.29056727118"/>
    <n v="24975"/>
    <n v="43160"/>
    <n v="8536"/>
    <m/>
    <m/>
    <n v="17932"/>
    <n v="6975"/>
    <n v="7626"/>
    <n v="5241"/>
    <m/>
    <m/>
    <n v="2166"/>
    <n v="3225"/>
    <n v="8979"/>
    <n v="839"/>
    <m/>
    <m/>
    <m/>
    <n v="1770"/>
    <m/>
    <m/>
    <m/>
    <m/>
    <m/>
    <m/>
    <m/>
    <m/>
    <m/>
    <m/>
    <m/>
    <m/>
    <m/>
    <m/>
    <m/>
    <m/>
    <m/>
  </r>
  <r>
    <x v="0"/>
    <n v="5"/>
    <s v="COAH"/>
    <x v="7"/>
    <s v="2015-2016"/>
    <x v="5"/>
    <n v="8924"/>
    <n v="4120"/>
    <n v="4804"/>
    <n v="44444"/>
    <n v="126"/>
    <n v="24"/>
    <n v="43"/>
    <n v="7619"/>
    <n v="164151.24862727136"/>
    <n v="5008"/>
    <n v="7918"/>
    <n v="1920"/>
    <m/>
    <m/>
    <n v="3210"/>
    <n v="1732"/>
    <n v="1840"/>
    <n v="1795"/>
    <n v="8924"/>
    <n v="130737471"/>
    <n v="423"/>
    <n v="846"/>
    <n v="500"/>
    <n v="42"/>
    <m/>
    <m/>
    <m/>
    <n v="49"/>
    <m/>
    <m/>
    <m/>
    <m/>
    <m/>
    <m/>
    <m/>
    <m/>
    <m/>
    <m/>
    <m/>
    <m/>
    <m/>
    <m/>
    <m/>
    <m/>
    <m/>
  </r>
  <r>
    <x v="0"/>
    <n v="6"/>
    <s v="COL"/>
    <x v="8"/>
    <s v="2015-2016"/>
    <x v="5"/>
    <n v="1904"/>
    <n v="883"/>
    <n v="1021"/>
    <n v="9679"/>
    <n v="41"/>
    <n v="5"/>
    <n v="10"/>
    <n v="1155"/>
    <n v="37724.691315219032"/>
    <n v="1004"/>
    <n v="1906"/>
    <n v="392"/>
    <m/>
    <m/>
    <n v="837"/>
    <n v="313"/>
    <n v="323"/>
    <n v="316"/>
    <n v="1904"/>
    <n v="36314796"/>
    <n v="122"/>
    <n v="313"/>
    <n v="578"/>
    <n v="60"/>
    <m/>
    <m/>
    <m/>
    <n v="75"/>
    <m/>
    <m/>
    <m/>
    <m/>
    <m/>
    <m/>
    <m/>
    <m/>
    <m/>
    <m/>
    <m/>
    <m/>
    <m/>
    <m/>
    <m/>
    <m/>
    <m/>
  </r>
  <r>
    <x v="0"/>
    <n v="10"/>
    <s v="DGO"/>
    <x v="9"/>
    <s v="2015-2016"/>
    <x v="5"/>
    <n v="2338"/>
    <n v="936"/>
    <n v="1402"/>
    <n v="28058"/>
    <n v="45"/>
    <n v="13"/>
    <n v="11"/>
    <n v="1840"/>
    <n v="103820.46888724105"/>
    <n v="1091"/>
    <n v="2483"/>
    <n v="483"/>
    <m/>
    <m/>
    <n v="1103"/>
    <n v="435"/>
    <n v="423"/>
    <n v="299"/>
    <n v="2338"/>
    <n v="35482547"/>
    <n v="159"/>
    <n v="248"/>
    <n v="717"/>
    <n v="166"/>
    <m/>
    <m/>
    <m/>
    <n v="71"/>
    <m/>
    <m/>
    <m/>
    <m/>
    <m/>
    <m/>
    <m/>
    <m/>
    <m/>
    <m/>
    <m/>
    <m/>
    <m/>
    <m/>
    <m/>
    <m/>
    <m/>
  </r>
  <r>
    <x v="0"/>
    <n v="11"/>
    <s v="GTO"/>
    <x v="10"/>
    <s v="2015-2016"/>
    <x v="5"/>
    <n v="17490"/>
    <n v="6444"/>
    <n v="11046"/>
    <n v="99912"/>
    <n v="238"/>
    <n v="56"/>
    <n v="70"/>
    <n v="13758"/>
    <n v="346948.29293777305"/>
    <n v="10759"/>
    <n v="17733"/>
    <n v="4552"/>
    <m/>
    <m/>
    <n v="6684"/>
    <n v="4179"/>
    <n v="3874"/>
    <n v="3774"/>
    <n v="17490"/>
    <n v="213348943"/>
    <n v="901"/>
    <n v="1959"/>
    <n v="30302"/>
    <n v="765"/>
    <m/>
    <m/>
    <m/>
    <n v="8014"/>
    <n v="9386"/>
    <m/>
    <m/>
    <m/>
    <m/>
    <m/>
    <m/>
    <m/>
    <m/>
    <m/>
    <m/>
    <m/>
    <m/>
    <m/>
    <m/>
    <m/>
    <m/>
  </r>
  <r>
    <x v="0"/>
    <n v="12"/>
    <s v="GRO"/>
    <x v="11"/>
    <s v="2015-2016"/>
    <x v="5"/>
    <n v="6612"/>
    <n v="2626"/>
    <n v="3986"/>
    <n v="62910"/>
    <n v="123"/>
    <n v="24"/>
    <n v="42"/>
    <n v="5150"/>
    <n v="226435.10807310266"/>
    <n v="3474"/>
    <n v="6743"/>
    <n v="1638"/>
    <m/>
    <m/>
    <n v="2844"/>
    <n v="1457"/>
    <n v="1482"/>
    <n v="1088"/>
    <n v="6612"/>
    <n v="116346947"/>
    <n v="307"/>
    <n v="554"/>
    <n v="1571"/>
    <n v="1186"/>
    <m/>
    <m/>
    <m/>
    <n v="1462"/>
    <m/>
    <m/>
    <m/>
    <m/>
    <m/>
    <m/>
    <m/>
    <m/>
    <m/>
    <m/>
    <m/>
    <m/>
    <m/>
    <m/>
    <m/>
    <m/>
    <m/>
  </r>
  <r>
    <x v="0"/>
    <n v="13"/>
    <s v="HGO"/>
    <x v="12"/>
    <s v="2015-2016"/>
    <x v="5"/>
    <n v="3713"/>
    <n v="1678"/>
    <n v="2035"/>
    <n v="52292"/>
    <n v="65"/>
    <n v="23"/>
    <n v="28"/>
    <n v="3104"/>
    <n v="160411.42558593757"/>
    <n v="1972"/>
    <n v="3498"/>
    <n v="865"/>
    <m/>
    <m/>
    <n v="1523"/>
    <n v="691"/>
    <n v="754"/>
    <n v="745"/>
    <n v="3713"/>
    <n v="55787690"/>
    <n v="220"/>
    <n v="415"/>
    <n v="599"/>
    <n v="287"/>
    <m/>
    <m/>
    <m/>
    <n v="274"/>
    <m/>
    <m/>
    <m/>
    <m/>
    <m/>
    <m/>
    <m/>
    <m/>
    <m/>
    <m/>
    <m/>
    <m/>
    <m/>
    <m/>
    <m/>
    <m/>
    <m/>
  </r>
  <r>
    <x v="0"/>
    <n v="14"/>
    <s v="JAL"/>
    <x v="13"/>
    <s v="2015-2016"/>
    <x v="5"/>
    <n v="14614"/>
    <n v="5953"/>
    <n v="8661"/>
    <n v="134984"/>
    <n v="255"/>
    <n v="32"/>
    <n v="78"/>
    <n v="11091"/>
    <n v="434574.23822360497"/>
    <n v="6291"/>
    <n v="14848"/>
    <n v="3414"/>
    <m/>
    <m/>
    <n v="5963"/>
    <n v="3081"/>
    <n v="3107"/>
    <n v="2898"/>
    <n v="14614"/>
    <n v="226341467"/>
    <n v="880"/>
    <n v="2137"/>
    <n v="4643"/>
    <n v="606"/>
    <m/>
    <m/>
    <m/>
    <n v="463"/>
    <n v="446"/>
    <m/>
    <m/>
    <m/>
    <m/>
    <m/>
    <m/>
    <m/>
    <m/>
    <m/>
    <m/>
    <m/>
    <m/>
    <m/>
    <m/>
    <m/>
    <m/>
  </r>
  <r>
    <x v="0"/>
    <n v="15"/>
    <s v="MEX"/>
    <x v="14"/>
    <s v="2015-2016"/>
    <x v="5"/>
    <n v="47574"/>
    <n v="20621"/>
    <n v="26953"/>
    <n v="278453"/>
    <n v="741"/>
    <n v="142"/>
    <n v="214"/>
    <n v="39966"/>
    <n v="911712.24742897251"/>
    <n v="20736"/>
    <n v="46706"/>
    <n v="10258"/>
    <m/>
    <m/>
    <n v="19660"/>
    <n v="8432"/>
    <n v="8724"/>
    <n v="7492"/>
    <n v="47574"/>
    <n v="657722639"/>
    <n v="2293"/>
    <n v="3926"/>
    <n v="17410"/>
    <n v="909"/>
    <m/>
    <m/>
    <m/>
    <n v="6308"/>
    <n v="801"/>
    <m/>
    <m/>
    <m/>
    <m/>
    <m/>
    <m/>
    <m/>
    <m/>
    <m/>
    <m/>
    <m/>
    <m/>
    <m/>
    <m/>
    <m/>
    <m/>
  </r>
  <r>
    <x v="0"/>
    <n v="16"/>
    <s v="MICH"/>
    <x v="15"/>
    <s v="2015-2016"/>
    <x v="5"/>
    <n v="11182"/>
    <n v="4395"/>
    <n v="6787"/>
    <n v="69610"/>
    <n v="226"/>
    <n v="41"/>
    <n v="63"/>
    <n v="8902"/>
    <n v="263050.95224898576"/>
    <n v="5762"/>
    <n v="11679"/>
    <n v="3026"/>
    <m/>
    <m/>
    <n v="5099"/>
    <n v="2482"/>
    <n v="2342"/>
    <n v="2059"/>
    <n v="11182"/>
    <n v="180418872"/>
    <n v="466"/>
    <n v="1093"/>
    <n v="1758"/>
    <n v="486"/>
    <m/>
    <m/>
    <m/>
    <n v="5"/>
    <m/>
    <m/>
    <m/>
    <m/>
    <m/>
    <m/>
    <m/>
    <m/>
    <m/>
    <m/>
    <m/>
    <m/>
    <m/>
    <m/>
    <m/>
    <m/>
    <m/>
  </r>
  <r>
    <x v="0"/>
    <n v="17"/>
    <s v="MOR"/>
    <x v="16"/>
    <s v="2015-2016"/>
    <x v="5"/>
    <n v="4599"/>
    <n v="1929"/>
    <n v="2670"/>
    <n v="32523"/>
    <n v="68"/>
    <n v="19"/>
    <n v="13"/>
    <n v="3728"/>
    <n v="102703.04808293736"/>
    <n v="2428"/>
    <n v="4787"/>
    <n v="1255"/>
    <m/>
    <m/>
    <n v="2002"/>
    <n v="1130"/>
    <n v="1119"/>
    <n v="1008"/>
    <n v="4599"/>
    <n v="61327462"/>
    <n v="245"/>
    <n v="592"/>
    <n v="3377"/>
    <n v="512"/>
    <m/>
    <m/>
    <m/>
    <n v="1995"/>
    <m/>
    <m/>
    <m/>
    <m/>
    <m/>
    <m/>
    <m/>
    <m/>
    <m/>
    <m/>
    <m/>
    <m/>
    <m/>
    <m/>
    <m/>
    <m/>
    <m/>
  </r>
  <r>
    <x v="0"/>
    <n v="18"/>
    <s v="NAY"/>
    <x v="17"/>
    <s v="2015-2016"/>
    <x v="5"/>
    <n v="3019"/>
    <n v="1264"/>
    <n v="1755"/>
    <n v="20436"/>
    <n v="54"/>
    <n v="8"/>
    <n v="9"/>
    <n v="2603"/>
    <n v="66019.247600487812"/>
    <n v="1486"/>
    <n v="2901"/>
    <n v="683"/>
    <m/>
    <m/>
    <n v="1267"/>
    <n v="620"/>
    <n v="587"/>
    <n v="579"/>
    <n v="3019"/>
    <n v="45890293"/>
    <n v="124"/>
    <n v="399"/>
    <n v="289"/>
    <n v="70"/>
    <m/>
    <m/>
    <m/>
    <n v="0"/>
    <m/>
    <m/>
    <m/>
    <m/>
    <m/>
    <m/>
    <m/>
    <m/>
    <m/>
    <m/>
    <m/>
    <m/>
    <m/>
    <m/>
    <m/>
    <m/>
    <m/>
  </r>
  <r>
    <x v="0"/>
    <n v="19"/>
    <s v="NL"/>
    <x v="18"/>
    <s v="2015-2016"/>
    <x v="5"/>
    <n v="18667"/>
    <n v="8223"/>
    <n v="10444"/>
    <n v="83352"/>
    <n v="250"/>
    <n v="52"/>
    <n v="80"/>
    <n v="14736"/>
    <n v="262574.27570966166"/>
    <n v="11124"/>
    <n v="17771"/>
    <n v="4210"/>
    <m/>
    <m/>
    <n v="7296"/>
    <n v="3797"/>
    <n v="3522"/>
    <n v="3440"/>
    <n v="18667"/>
    <n v="190850231"/>
    <n v="897"/>
    <n v="1734"/>
    <n v="32438"/>
    <n v="1969"/>
    <m/>
    <m/>
    <m/>
    <n v="35553"/>
    <n v="1193"/>
    <m/>
    <m/>
    <m/>
    <m/>
    <m/>
    <m/>
    <m/>
    <m/>
    <m/>
    <m/>
    <m/>
    <m/>
    <m/>
    <m/>
    <m/>
    <m/>
  </r>
  <r>
    <x v="1"/>
    <n v="20"/>
    <s v="OAX"/>
    <x v="19"/>
    <s v="2015-2016"/>
    <x v="5"/>
    <n v="6301"/>
    <n v="2568"/>
    <n v="3733"/>
    <n v="64304"/>
    <n v="107"/>
    <n v="12"/>
    <n v="33"/>
    <n v="5010"/>
    <n v="241009.03331680052"/>
    <n v="3238"/>
    <n v="6254"/>
    <n v="1508"/>
    <m/>
    <m/>
    <n v="2691"/>
    <n v="1316"/>
    <n v="1369"/>
    <n v="890"/>
    <m/>
    <m/>
    <n v="366"/>
    <n v="530"/>
    <n v="2327"/>
    <n v="35"/>
    <m/>
    <m/>
    <m/>
    <n v="602"/>
    <m/>
    <m/>
    <m/>
    <m/>
    <m/>
    <m/>
    <m/>
    <m/>
    <m/>
    <m/>
    <m/>
    <m/>
    <m/>
    <m/>
    <m/>
    <m/>
    <m/>
  </r>
  <r>
    <x v="0"/>
    <n v="21"/>
    <s v="PUE"/>
    <x v="20"/>
    <s v="2015-2016"/>
    <x v="5"/>
    <n v="7128"/>
    <n v="2822"/>
    <n v="4306"/>
    <n v="109274"/>
    <n v="144"/>
    <n v="36"/>
    <n v="56"/>
    <n v="5868"/>
    <n v="367000.54615377309"/>
    <n v="3986"/>
    <n v="7170"/>
    <n v="1873"/>
    <m/>
    <m/>
    <n v="2816"/>
    <n v="1602"/>
    <n v="1712"/>
    <n v="1639"/>
    <n v="7128"/>
    <n v="130865900"/>
    <n v="402"/>
    <n v="898"/>
    <n v="2966"/>
    <n v="173"/>
    <m/>
    <m/>
    <m/>
    <n v="3057"/>
    <m/>
    <m/>
    <m/>
    <m/>
    <m/>
    <m/>
    <m/>
    <m/>
    <m/>
    <m/>
    <m/>
    <m/>
    <m/>
    <m/>
    <m/>
    <m/>
    <m/>
  </r>
  <r>
    <x v="0"/>
    <n v="22"/>
    <s v="QRO"/>
    <x v="21"/>
    <s v="2015-2016"/>
    <x v="5"/>
    <n v="3482"/>
    <n v="1374"/>
    <n v="2108"/>
    <n v="32682"/>
    <n v="55"/>
    <n v="13"/>
    <n v="29"/>
    <n v="2775"/>
    <n v="113446.37951932651"/>
    <n v="2270"/>
    <n v="3442"/>
    <n v="768"/>
    <m/>
    <m/>
    <n v="1219"/>
    <n v="715"/>
    <n v="716"/>
    <n v="646"/>
    <n v="3482"/>
    <n v="40331193"/>
    <n v="267"/>
    <n v="357"/>
    <n v="297"/>
    <n v="49"/>
    <m/>
    <m/>
    <m/>
    <n v="47"/>
    <m/>
    <m/>
    <m/>
    <m/>
    <m/>
    <m/>
    <m/>
    <m/>
    <m/>
    <m/>
    <m/>
    <m/>
    <m/>
    <m/>
    <m/>
    <m/>
    <m/>
  </r>
  <r>
    <x v="0"/>
    <n v="23"/>
    <s v="QROO"/>
    <x v="22"/>
    <s v="2015-2016"/>
    <x v="5"/>
    <n v="8052"/>
    <n v="3286"/>
    <n v="4766"/>
    <n v="21186"/>
    <n v="104"/>
    <n v="18"/>
    <n v="29"/>
    <n v="6335"/>
    <n v="82157.314791918063"/>
    <n v="3800"/>
    <n v="8119"/>
    <n v="2352"/>
    <m/>
    <m/>
    <n v="3687"/>
    <n v="2146"/>
    <n v="1843"/>
    <n v="1734"/>
    <n v="8052"/>
    <n v="87582707"/>
    <n v="405"/>
    <n v="751"/>
    <n v="140"/>
    <n v="56"/>
    <m/>
    <m/>
    <m/>
    <n v="257"/>
    <m/>
    <m/>
    <m/>
    <m/>
    <m/>
    <m/>
    <m/>
    <m/>
    <m/>
    <m/>
    <m/>
    <m/>
    <m/>
    <m/>
    <m/>
    <m/>
    <m/>
  </r>
  <r>
    <x v="0"/>
    <n v="24"/>
    <s v="SLP"/>
    <x v="23"/>
    <s v="2015-2016"/>
    <x v="5"/>
    <n v="5220"/>
    <n v="2258"/>
    <n v="2962"/>
    <n v="48979"/>
    <n v="85"/>
    <n v="25"/>
    <n v="28"/>
    <n v="4052"/>
    <n v="161315.89873923562"/>
    <n v="2783"/>
    <n v="5248"/>
    <n v="1240"/>
    <m/>
    <m/>
    <n v="2196"/>
    <n v="1065"/>
    <n v="1075"/>
    <n v="1011"/>
    <n v="5220"/>
    <n v="76597325"/>
    <n v="319"/>
    <n v="353"/>
    <n v="2880"/>
    <n v="198"/>
    <m/>
    <m/>
    <m/>
    <n v="247"/>
    <m/>
    <m/>
    <m/>
    <m/>
    <m/>
    <m/>
    <m/>
    <m/>
    <m/>
    <m/>
    <m/>
    <m/>
    <m/>
    <m/>
    <m/>
    <m/>
    <m/>
  </r>
  <r>
    <x v="0"/>
    <n v="25"/>
    <s v="SIN"/>
    <x v="24"/>
    <s v="2015-2016"/>
    <x v="5"/>
    <n v="8506"/>
    <n v="3326"/>
    <n v="5180"/>
    <n v="47206"/>
    <n v="183"/>
    <n v="51"/>
    <n v="52"/>
    <n v="7159"/>
    <n v="165717.12517568539"/>
    <n v="3838"/>
    <n v="8710"/>
    <n v="2473"/>
    <m/>
    <m/>
    <n v="3935"/>
    <n v="2267"/>
    <n v="2199"/>
    <n v="2168"/>
    <n v="8506"/>
    <n v="194265438"/>
    <n v="561"/>
    <n v="941"/>
    <n v="774"/>
    <n v="72"/>
    <m/>
    <m/>
    <m/>
    <n v="68"/>
    <m/>
    <m/>
    <m/>
    <m/>
    <m/>
    <m/>
    <m/>
    <m/>
    <m/>
    <m/>
    <m/>
    <m/>
    <m/>
    <m/>
    <m/>
    <m/>
    <m/>
  </r>
  <r>
    <x v="0"/>
    <n v="26"/>
    <s v="SON"/>
    <x v="25"/>
    <s v="2015-2016"/>
    <x v="5"/>
    <n v="14044"/>
    <n v="6199"/>
    <n v="7845"/>
    <n v="47330"/>
    <n v="243"/>
    <n v="36"/>
    <n v="47"/>
    <n v="11328"/>
    <n v="158624.9306182384"/>
    <n v="6300"/>
    <n v="13206"/>
    <n v="2641"/>
    <m/>
    <m/>
    <n v="5124"/>
    <n v="2143"/>
    <n v="2409"/>
    <n v="2041"/>
    <n v="14044"/>
    <n v="196627762"/>
    <n v="534"/>
    <n v="1019"/>
    <n v="5816"/>
    <n v="243"/>
    <m/>
    <m/>
    <m/>
    <n v="103"/>
    <m/>
    <m/>
    <m/>
    <m/>
    <m/>
    <m/>
    <m/>
    <m/>
    <m/>
    <m/>
    <m/>
    <m/>
    <m/>
    <m/>
    <m/>
    <m/>
    <m/>
  </r>
  <r>
    <x v="0"/>
    <n v="27"/>
    <s v="TAB"/>
    <x v="26"/>
    <s v="2015-2016"/>
    <x v="5"/>
    <n v="5739"/>
    <n v="2280"/>
    <n v="3459"/>
    <n v="42849"/>
    <n v="76"/>
    <n v="22"/>
    <n v="25"/>
    <n v="4780"/>
    <n v="134263.10997582137"/>
    <m/>
    <n v="5650"/>
    <n v="1475"/>
    <m/>
    <m/>
    <n v="2213"/>
    <n v="1319"/>
    <n v="1082"/>
    <n v="1055"/>
    <n v="5739"/>
    <n v="97447789"/>
    <n v="295"/>
    <n v="497"/>
    <n v="682"/>
    <n v="0"/>
    <m/>
    <m/>
    <m/>
    <n v="221"/>
    <m/>
    <m/>
    <m/>
    <m/>
    <m/>
    <m/>
    <m/>
    <m/>
    <m/>
    <m/>
    <m/>
    <m/>
    <m/>
    <m/>
    <m/>
    <m/>
    <m/>
  </r>
  <r>
    <x v="0"/>
    <n v="28"/>
    <s v="TAMPS"/>
    <x v="27"/>
    <s v="2015-2016"/>
    <x v="5"/>
    <n v="9004"/>
    <n v="3517"/>
    <n v="5487"/>
    <n v="53858"/>
    <n v="147"/>
    <n v="22"/>
    <n v="49"/>
    <n v="7552"/>
    <n v="187329.31487792477"/>
    <n v="3948"/>
    <n v="9281"/>
    <n v="2277"/>
    <m/>
    <m/>
    <n v="4147"/>
    <n v="2058"/>
    <n v="1728"/>
    <n v="1542"/>
    <n v="9004"/>
    <n v="151650427"/>
    <n v="402"/>
    <n v="955"/>
    <n v="5910"/>
    <n v="12"/>
    <m/>
    <m/>
    <m/>
    <n v="82"/>
    <n v="218"/>
    <m/>
    <m/>
    <m/>
    <m/>
    <m/>
    <m/>
    <m/>
    <m/>
    <m/>
    <m/>
    <m/>
    <m/>
    <m/>
    <m/>
    <m/>
    <m/>
  </r>
  <r>
    <x v="0"/>
    <n v="29"/>
    <s v="TLAX"/>
    <x v="28"/>
    <s v="2015-2016"/>
    <x v="5"/>
    <n v="2848"/>
    <n v="1143"/>
    <n v="1705"/>
    <n v="21334"/>
    <n v="43"/>
    <n v="11"/>
    <n v="17"/>
    <n v="2482"/>
    <n v="73772.184412816365"/>
    <n v="1320"/>
    <n v="3081"/>
    <n v="758"/>
    <m/>
    <m/>
    <n v="1332"/>
    <n v="655"/>
    <n v="618"/>
    <n v="598"/>
    <n v="2848"/>
    <n v="36948468"/>
    <n v="175"/>
    <n v="372"/>
    <n v="19"/>
    <n v="75"/>
    <m/>
    <m/>
    <m/>
    <n v="0"/>
    <m/>
    <m/>
    <m/>
    <m/>
    <m/>
    <m/>
    <m/>
    <m/>
    <m/>
    <m/>
    <m/>
    <m/>
    <m/>
    <m/>
    <m/>
    <m/>
    <m/>
  </r>
  <r>
    <x v="0"/>
    <n v="30"/>
    <s v="VER"/>
    <x v="29"/>
    <s v="2015-2016"/>
    <x v="5"/>
    <n v="9327"/>
    <n v="3736"/>
    <n v="5591"/>
    <n v="132416"/>
    <n v="175"/>
    <n v="36"/>
    <n v="74"/>
    <n v="7800"/>
    <n v="447313.21251631447"/>
    <n v="5338"/>
    <n v="9124"/>
    <n v="2493"/>
    <m/>
    <m/>
    <n v="3711"/>
    <n v="2271"/>
    <n v="2162"/>
    <n v="2057"/>
    <n v="9327"/>
    <n v="198977232"/>
    <n v="562"/>
    <n v="1217"/>
    <n v="4165"/>
    <n v="234"/>
    <m/>
    <m/>
    <m/>
    <n v="842"/>
    <n v="554"/>
    <m/>
    <m/>
    <m/>
    <m/>
    <m/>
    <m/>
    <m/>
    <m/>
    <m/>
    <m/>
    <m/>
    <m/>
    <m/>
    <m/>
    <m/>
    <m/>
  </r>
  <r>
    <x v="0"/>
    <n v="31"/>
    <s v="YUC"/>
    <x v="30"/>
    <s v="2015-2016"/>
    <x v="5"/>
    <n v="4839"/>
    <n v="1913"/>
    <n v="2926"/>
    <n v="30873"/>
    <n v="63"/>
    <n v="14"/>
    <n v="24"/>
    <n v="3433"/>
    <n v="111391.49791559768"/>
    <n v="2466"/>
    <n v="4704"/>
    <n v="1071"/>
    <m/>
    <m/>
    <n v="1708"/>
    <n v="899"/>
    <n v="849"/>
    <n v="711"/>
    <n v="4839"/>
    <n v="88468761"/>
    <n v="272"/>
    <n v="360"/>
    <n v="2172"/>
    <n v="163"/>
    <m/>
    <m/>
    <m/>
    <n v="956"/>
    <m/>
    <m/>
    <m/>
    <m/>
    <m/>
    <m/>
    <m/>
    <m/>
    <m/>
    <m/>
    <m/>
    <m/>
    <m/>
    <m/>
    <m/>
    <m/>
    <m/>
  </r>
  <r>
    <x v="0"/>
    <n v="32"/>
    <s v="ZAC"/>
    <x v="31"/>
    <s v="2015-2016"/>
    <x v="5"/>
    <n v="1719"/>
    <n v="779"/>
    <n v="940"/>
    <n v="25816"/>
    <n v="46"/>
    <n v="16"/>
    <n v="7"/>
    <n v="1313"/>
    <n v="90808.802607902966"/>
    <n v="882"/>
    <n v="1694"/>
    <n v="309"/>
    <m/>
    <m/>
    <n v="767"/>
    <n v="267"/>
    <n v="276"/>
    <n v="271"/>
    <n v="1719"/>
    <n v="32276523"/>
    <n v="84"/>
    <n v="164"/>
    <n v="1767"/>
    <n v="454"/>
    <m/>
    <m/>
    <m/>
    <n v="370"/>
    <m/>
    <m/>
    <m/>
    <m/>
    <m/>
    <m/>
    <m/>
    <m/>
    <m/>
    <m/>
    <m/>
    <m/>
    <m/>
    <m/>
    <m/>
    <m/>
    <m/>
  </r>
  <r>
    <x v="2"/>
    <n v="33"/>
    <s v="OTRO"/>
    <x v="32"/>
    <s v="2015-2016"/>
    <x v="5"/>
    <m/>
    <m/>
    <m/>
    <m/>
    <m/>
    <m/>
    <m/>
    <m/>
    <m/>
    <m/>
    <m/>
    <m/>
    <m/>
    <m/>
    <m/>
    <m/>
    <m/>
    <m/>
    <m/>
    <m/>
    <m/>
    <m/>
    <m/>
    <m/>
    <m/>
    <m/>
    <m/>
    <n v="112"/>
    <m/>
    <m/>
    <m/>
    <m/>
    <m/>
    <m/>
    <m/>
    <m/>
    <m/>
    <m/>
    <m/>
    <m/>
    <m/>
    <m/>
    <m/>
    <m/>
    <m/>
  </r>
  <r>
    <x v="1"/>
    <n v="0"/>
    <s v="ON"/>
    <x v="33"/>
    <s v="2015-2016"/>
    <x v="5"/>
    <m/>
    <m/>
    <m/>
    <m/>
    <m/>
    <m/>
    <m/>
    <m/>
    <m/>
    <m/>
    <m/>
    <m/>
    <m/>
    <m/>
    <m/>
    <m/>
    <m/>
    <m/>
    <m/>
    <m/>
    <m/>
    <m/>
    <m/>
    <m/>
    <m/>
    <m/>
    <m/>
    <n v="195"/>
    <m/>
    <n v="299517.17913"/>
    <n v="1430230.9999999998"/>
    <n v="1430230.9999999998"/>
    <n v="1425327.2999999998"/>
    <n v="1358327.2999999998"/>
    <n v="1358327.2999999998"/>
    <n v="1409572.0999999999"/>
    <n v="1404668.4"/>
    <n v="20658.900000000001"/>
    <n v="20658.900000000001"/>
    <n v="71903.7"/>
    <n v="1430230.9999999998"/>
    <n v="60560.5"/>
    <n v="67000"/>
    <n v="1430230.9999999998"/>
    <n v="1425327.2999999998"/>
  </r>
  <r>
    <x v="0"/>
    <n v="1"/>
    <s v="AGS"/>
    <x v="0"/>
    <s v="2016-2017"/>
    <x v="6"/>
    <n v="4628"/>
    <n v="1649"/>
    <n v="2979"/>
    <n v="24872"/>
    <n v="91"/>
    <m/>
    <m/>
    <n v="4274"/>
    <n v="75552.523142201011"/>
    <n v="1783"/>
    <n v="4664"/>
    <n v="1160"/>
    <m/>
    <m/>
    <n v="1749"/>
    <n v="1021"/>
    <n v="1091"/>
    <n v="995"/>
    <n v="4628"/>
    <n v="61233430.649999999"/>
    <n v="287"/>
    <n v="429"/>
    <n v="2520"/>
    <n v="258"/>
    <m/>
    <m/>
    <m/>
    <n v="1257"/>
    <m/>
    <m/>
    <m/>
    <m/>
    <m/>
    <m/>
    <m/>
    <m/>
    <m/>
    <m/>
    <m/>
    <m/>
    <m/>
    <m/>
    <m/>
    <m/>
    <m/>
  </r>
  <r>
    <x v="0"/>
    <n v="2"/>
    <s v="BC"/>
    <x v="1"/>
    <s v="2016-2017"/>
    <x v="6"/>
    <n v="8090"/>
    <n v="3472"/>
    <n v="4618"/>
    <n v="65797"/>
    <n v="123"/>
    <m/>
    <m/>
    <n v="6273"/>
    <n v="189249.65677378187"/>
    <n v="4316"/>
    <n v="8256"/>
    <n v="1592"/>
    <m/>
    <m/>
    <n v="3120"/>
    <n v="1348"/>
    <n v="1519"/>
    <n v="1367"/>
    <n v="8090"/>
    <n v="130855822.47"/>
    <n v="378"/>
    <n v="749"/>
    <n v="2060"/>
    <n v="49"/>
    <m/>
    <m/>
    <m/>
    <n v="12"/>
    <n v="248"/>
    <m/>
    <m/>
    <m/>
    <m/>
    <m/>
    <m/>
    <m/>
    <m/>
    <m/>
    <m/>
    <m/>
    <m/>
    <m/>
    <m/>
    <m/>
    <m/>
  </r>
  <r>
    <x v="0"/>
    <n v="3"/>
    <s v="BCS"/>
    <x v="2"/>
    <s v="2016-2017"/>
    <x v="6"/>
    <n v="1878"/>
    <n v="795"/>
    <n v="1083"/>
    <n v="13365"/>
    <n v="18"/>
    <m/>
    <m/>
    <n v="1353"/>
    <n v="41053.964711196735"/>
    <n v="1070"/>
    <n v="1875"/>
    <n v="549"/>
    <m/>
    <m/>
    <n v="884"/>
    <n v="455"/>
    <n v="429"/>
    <n v="412"/>
    <n v="1878"/>
    <n v="32845717.109999999"/>
    <n v="91"/>
    <n v="217"/>
    <n v="1141"/>
    <n v="52"/>
    <m/>
    <m/>
    <m/>
    <n v="0"/>
    <m/>
    <m/>
    <m/>
    <m/>
    <m/>
    <m/>
    <m/>
    <m/>
    <m/>
    <m/>
    <m/>
    <m/>
    <m/>
    <m/>
    <m/>
    <m/>
    <m/>
  </r>
  <r>
    <x v="0"/>
    <n v="4"/>
    <s v="CAMP"/>
    <x v="3"/>
    <s v="2016-2017"/>
    <x v="6"/>
    <n v="1835"/>
    <n v="694"/>
    <n v="1141"/>
    <n v="13650"/>
    <n v="40"/>
    <m/>
    <m/>
    <n v="1231"/>
    <n v="48515.428270691897"/>
    <n v="845"/>
    <n v="1890"/>
    <n v="394"/>
    <m/>
    <m/>
    <n v="799"/>
    <n v="337"/>
    <n v="367"/>
    <n v="317"/>
    <n v="1835"/>
    <n v="39270163.579999998"/>
    <n v="106"/>
    <n v="331"/>
    <n v="209"/>
    <n v="69"/>
    <m/>
    <m/>
    <m/>
    <n v="227"/>
    <m/>
    <m/>
    <m/>
    <m/>
    <m/>
    <m/>
    <m/>
    <m/>
    <m/>
    <m/>
    <m/>
    <m/>
    <m/>
    <m/>
    <m/>
    <m/>
    <m/>
  </r>
  <r>
    <x v="0"/>
    <n v="7"/>
    <s v="CHIAP"/>
    <x v="4"/>
    <s v="2016-2017"/>
    <x v="6"/>
    <n v="7553"/>
    <n v="2843"/>
    <n v="4710"/>
    <n v="95696"/>
    <n v="167"/>
    <m/>
    <m/>
    <n v="6204"/>
    <n v="340247.31517651619"/>
    <n v="3471"/>
    <n v="7432"/>
    <n v="1925"/>
    <m/>
    <m/>
    <n v="3054"/>
    <n v="1704"/>
    <n v="1634"/>
    <n v="1474"/>
    <n v="7553"/>
    <n v="150972766.46000001"/>
    <n v="417"/>
    <n v="714"/>
    <n v="3261"/>
    <n v="126"/>
    <m/>
    <m/>
    <m/>
    <n v="459"/>
    <m/>
    <m/>
    <m/>
    <m/>
    <m/>
    <m/>
    <m/>
    <m/>
    <m/>
    <m/>
    <m/>
    <m/>
    <m/>
    <m/>
    <m/>
    <m/>
    <m/>
  </r>
  <r>
    <x v="0"/>
    <n v="8"/>
    <s v="CHIH"/>
    <x v="5"/>
    <s v="2016-2017"/>
    <x v="6"/>
    <n v="9095"/>
    <n v="3667"/>
    <n v="5428"/>
    <n v="58384"/>
    <n v="157"/>
    <m/>
    <m/>
    <n v="8007"/>
    <n v="202549.85077126772"/>
    <n v="4481"/>
    <n v="9712"/>
    <n v="2136"/>
    <m/>
    <m/>
    <n v="3670"/>
    <n v="1887"/>
    <n v="1992"/>
    <n v="1832"/>
    <n v="9095"/>
    <n v="145516960.11000001"/>
    <n v="595"/>
    <n v="983"/>
    <n v="2090"/>
    <n v="459"/>
    <m/>
    <m/>
    <m/>
    <n v="171"/>
    <n v="830"/>
    <m/>
    <m/>
    <m/>
    <m/>
    <m/>
    <m/>
    <m/>
    <m/>
    <m/>
    <m/>
    <m/>
    <m/>
    <m/>
    <m/>
    <m/>
    <m/>
  </r>
  <r>
    <x v="1"/>
    <n v="9"/>
    <s v="CDMX"/>
    <x v="6"/>
    <s v="2016-2017"/>
    <x v="6"/>
    <n v="44532"/>
    <n v="19341"/>
    <n v="25191"/>
    <n v="149092"/>
    <n v="578"/>
    <m/>
    <m/>
    <n v="35070"/>
    <n v="398626.75142456184"/>
    <n v="25391"/>
    <n v="44572"/>
    <n v="8176"/>
    <m/>
    <m/>
    <n v="17832"/>
    <n v="6851"/>
    <n v="6975"/>
    <n v="4488"/>
    <n v="44532"/>
    <n v="712523049.10000002"/>
    <n v="2139"/>
    <n v="3705"/>
    <n v="9656"/>
    <n v="498"/>
    <m/>
    <m/>
    <m/>
    <n v="409"/>
    <m/>
    <m/>
    <m/>
    <m/>
    <m/>
    <m/>
    <m/>
    <m/>
    <m/>
    <m/>
    <m/>
    <m/>
    <m/>
    <m/>
    <m/>
    <m/>
    <m/>
  </r>
  <r>
    <x v="0"/>
    <n v="5"/>
    <s v="COAH"/>
    <x v="7"/>
    <s v="2016-2017"/>
    <x v="6"/>
    <n v="9358"/>
    <n v="3694"/>
    <n v="5664"/>
    <n v="45461"/>
    <n v="134"/>
    <m/>
    <m/>
    <n v="7882"/>
    <n v="164049.17509195409"/>
    <n v="4894"/>
    <n v="8924"/>
    <n v="1884"/>
    <m/>
    <m/>
    <n v="3155"/>
    <n v="1717"/>
    <n v="1732"/>
    <n v="1678"/>
    <n v="9358"/>
    <n v="142365785.33000001"/>
    <n v="425"/>
    <n v="1141"/>
    <n v="1777"/>
    <n v="110"/>
    <m/>
    <m/>
    <m/>
    <n v="29"/>
    <m/>
    <m/>
    <m/>
    <m/>
    <m/>
    <m/>
    <m/>
    <m/>
    <m/>
    <m/>
    <m/>
    <m/>
    <m/>
    <m/>
    <m/>
    <m/>
    <m/>
  </r>
  <r>
    <x v="0"/>
    <n v="6"/>
    <s v="COL"/>
    <x v="8"/>
    <s v="2016-2017"/>
    <x v="6"/>
    <n v="1986"/>
    <n v="861"/>
    <n v="1125"/>
    <n v="10098"/>
    <n v="48"/>
    <m/>
    <m/>
    <n v="1204"/>
    <n v="37875.704792408171"/>
    <n v="987"/>
    <n v="1904"/>
    <n v="357"/>
    <m/>
    <m/>
    <n v="813"/>
    <n v="288"/>
    <n v="313"/>
    <n v="291"/>
    <n v="1986"/>
    <n v="39698810.590000004"/>
    <n v="116"/>
    <n v="320"/>
    <n v="446"/>
    <n v="53"/>
    <m/>
    <m/>
    <m/>
    <n v="2"/>
    <m/>
    <m/>
    <m/>
    <m/>
    <m/>
    <m/>
    <m/>
    <m/>
    <m/>
    <m/>
    <m/>
    <m/>
    <m/>
    <m/>
    <m/>
    <m/>
    <m/>
  </r>
  <r>
    <x v="0"/>
    <n v="10"/>
    <s v="DGO"/>
    <x v="9"/>
    <s v="2016-2017"/>
    <x v="6"/>
    <n v="2142"/>
    <n v="853"/>
    <n v="1289"/>
    <n v="28138"/>
    <n v="52"/>
    <m/>
    <m/>
    <n v="1732"/>
    <n v="103161.14488961299"/>
    <n v="989"/>
    <n v="2338"/>
    <n v="457"/>
    <m/>
    <m/>
    <n v="1022"/>
    <n v="403"/>
    <n v="435"/>
    <n v="328"/>
    <n v="2142"/>
    <n v="38851853.909999996"/>
    <n v="152"/>
    <n v="260"/>
    <n v="836"/>
    <n v="19"/>
    <m/>
    <m/>
    <m/>
    <n v="1"/>
    <m/>
    <m/>
    <m/>
    <m/>
    <m/>
    <m/>
    <m/>
    <m/>
    <m/>
    <m/>
    <m/>
    <m/>
    <m/>
    <m/>
    <m/>
    <m/>
    <m/>
  </r>
  <r>
    <x v="0"/>
    <n v="11"/>
    <s v="GTO"/>
    <x v="10"/>
    <s v="2016-2017"/>
    <x v="6"/>
    <n v="17266"/>
    <n v="7056"/>
    <n v="10210"/>
    <n v="101972"/>
    <n v="288"/>
    <m/>
    <m/>
    <n v="13982"/>
    <n v="343052.59941082727"/>
    <n v="9987"/>
    <n v="17490"/>
    <n v="5020"/>
    <m/>
    <m/>
    <n v="8079"/>
    <n v="4743"/>
    <n v="4179"/>
    <n v="4061"/>
    <n v="17266"/>
    <n v="232530027.75999999"/>
    <n v="882"/>
    <n v="2187"/>
    <n v="14908"/>
    <n v="724"/>
    <m/>
    <m/>
    <m/>
    <n v="1341"/>
    <n v="10325"/>
    <m/>
    <m/>
    <m/>
    <m/>
    <m/>
    <m/>
    <m/>
    <m/>
    <m/>
    <m/>
    <m/>
    <m/>
    <m/>
    <m/>
    <m/>
    <m/>
  </r>
  <r>
    <x v="0"/>
    <n v="12"/>
    <s v="GRO"/>
    <x v="11"/>
    <s v="2016-2017"/>
    <x v="6"/>
    <n v="6290"/>
    <n v="2388"/>
    <n v="3902"/>
    <n v="67377"/>
    <n v="128"/>
    <m/>
    <m/>
    <n v="4921"/>
    <n v="223862.11018434755"/>
    <n v="3307"/>
    <n v="6612"/>
    <n v="1495"/>
    <m/>
    <m/>
    <n v="2731"/>
    <n v="1363"/>
    <n v="1457"/>
    <n v="928"/>
    <n v="6290"/>
    <n v="126521394.34999999"/>
    <n v="314"/>
    <n v="719"/>
    <n v="1707"/>
    <n v="680"/>
    <m/>
    <m/>
    <m/>
    <n v="1021"/>
    <m/>
    <m/>
    <m/>
    <m/>
    <m/>
    <m/>
    <m/>
    <m/>
    <m/>
    <m/>
    <m/>
    <m/>
    <m/>
    <m/>
    <m/>
    <m/>
    <m/>
  </r>
  <r>
    <x v="0"/>
    <n v="13"/>
    <s v="HGO"/>
    <x v="12"/>
    <s v="2016-2017"/>
    <x v="6"/>
    <n v="3715"/>
    <n v="1609"/>
    <n v="2106"/>
    <n v="53656"/>
    <n v="71"/>
    <m/>
    <m/>
    <n v="3240"/>
    <n v="160914.50700483442"/>
    <n v="1987"/>
    <n v="3713"/>
    <n v="836"/>
    <m/>
    <m/>
    <n v="1716"/>
    <n v="710"/>
    <n v="691"/>
    <n v="684"/>
    <n v="3715"/>
    <n v="60800287.82"/>
    <n v="213"/>
    <n v="428"/>
    <n v="839"/>
    <n v="512"/>
    <m/>
    <m/>
    <m/>
    <n v="183"/>
    <m/>
    <m/>
    <m/>
    <m/>
    <m/>
    <m/>
    <m/>
    <m/>
    <m/>
    <m/>
    <m/>
    <m/>
    <m/>
    <m/>
    <m/>
    <m/>
    <m/>
  </r>
  <r>
    <x v="0"/>
    <n v="14"/>
    <s v="JAL"/>
    <x v="13"/>
    <s v="2016-2017"/>
    <x v="6"/>
    <n v="14712"/>
    <n v="5788"/>
    <n v="8924"/>
    <n v="134735"/>
    <n v="276"/>
    <m/>
    <m/>
    <n v="11181"/>
    <n v="434016.99044479663"/>
    <n v="6016"/>
    <n v="14614"/>
    <n v="3200"/>
    <m/>
    <m/>
    <n v="5644"/>
    <n v="2841"/>
    <n v="3081"/>
    <n v="2825"/>
    <n v="14712"/>
    <n v="246794917.25"/>
    <n v="865"/>
    <n v="2084"/>
    <n v="5689"/>
    <n v="422"/>
    <m/>
    <m/>
    <m/>
    <n v="33"/>
    <n v="523"/>
    <m/>
    <m/>
    <m/>
    <m/>
    <m/>
    <m/>
    <m/>
    <m/>
    <m/>
    <m/>
    <m/>
    <m/>
    <m/>
    <m/>
    <m/>
    <m/>
  </r>
  <r>
    <x v="0"/>
    <n v="15"/>
    <s v="MEX"/>
    <x v="14"/>
    <s v="2016-2017"/>
    <x v="6"/>
    <n v="48274"/>
    <n v="20110"/>
    <n v="28164"/>
    <n v="282972"/>
    <n v="777"/>
    <m/>
    <m/>
    <n v="41167"/>
    <n v="912434.1330424099"/>
    <n v="30447"/>
    <n v="47574"/>
    <n v="9775"/>
    <m/>
    <m/>
    <n v="19346"/>
    <n v="8197"/>
    <n v="8432"/>
    <n v="7119"/>
    <n v="48274"/>
    <n v="719471475.25999999"/>
    <n v="2301"/>
    <n v="4445"/>
    <n v="10044"/>
    <n v="1523"/>
    <m/>
    <m/>
    <m/>
    <n v="21394"/>
    <n v="928"/>
    <m/>
    <m/>
    <m/>
    <m/>
    <m/>
    <m/>
    <m/>
    <m/>
    <m/>
    <m/>
    <m/>
    <m/>
    <m/>
    <m/>
    <m/>
    <m/>
  </r>
  <r>
    <x v="0"/>
    <n v="16"/>
    <s v="MICH"/>
    <x v="15"/>
    <s v="2016-2017"/>
    <x v="6"/>
    <n v="11186"/>
    <n v="4617"/>
    <n v="6569"/>
    <n v="71545"/>
    <n v="219"/>
    <m/>
    <m/>
    <n v="9228"/>
    <n v="260237.037837757"/>
    <n v="5759"/>
    <n v="11182"/>
    <n v="2812"/>
    <m/>
    <m/>
    <n v="4749"/>
    <n v="2396"/>
    <n v="2482"/>
    <n v="2207"/>
    <n v="11186"/>
    <n v="196792051.69999999"/>
    <n v="461"/>
    <n v="1204"/>
    <n v="1852"/>
    <n v="450"/>
    <m/>
    <m/>
    <m/>
    <n v="39"/>
    <m/>
    <m/>
    <m/>
    <m/>
    <m/>
    <m/>
    <m/>
    <m/>
    <m/>
    <m/>
    <m/>
    <m/>
    <m/>
    <m/>
    <m/>
    <m/>
    <m/>
  </r>
  <r>
    <x v="0"/>
    <n v="17"/>
    <s v="MOR"/>
    <x v="16"/>
    <s v="2016-2017"/>
    <x v="6"/>
    <n v="4719"/>
    <n v="2007"/>
    <n v="2712"/>
    <n v="37387"/>
    <n v="72"/>
    <m/>
    <m/>
    <n v="3808"/>
    <n v="102090.35270232501"/>
    <n v="2557"/>
    <n v="4599"/>
    <n v="1143"/>
    <m/>
    <m/>
    <n v="1832"/>
    <n v="1040"/>
    <n v="1130"/>
    <n v="1030"/>
    <n v="4719"/>
    <n v="66564926.93"/>
    <n v="243"/>
    <n v="532"/>
    <n v="902"/>
    <n v="539"/>
    <m/>
    <m/>
    <m/>
    <n v="1860"/>
    <m/>
    <m/>
    <m/>
    <m/>
    <m/>
    <m/>
    <m/>
    <m/>
    <m/>
    <m/>
    <m/>
    <m/>
    <m/>
    <m/>
    <m/>
    <m/>
    <m/>
  </r>
  <r>
    <x v="0"/>
    <n v="18"/>
    <s v="NAY"/>
    <x v="17"/>
    <s v="2016-2017"/>
    <x v="6"/>
    <n v="3195"/>
    <n v="1407"/>
    <n v="1788"/>
    <n v="23258"/>
    <n v="61"/>
    <m/>
    <m/>
    <n v="2775"/>
    <n v="66472.42397422815"/>
    <n v="1704"/>
    <n v="3019"/>
    <n v="717"/>
    <m/>
    <m/>
    <n v="1236"/>
    <n v="639"/>
    <n v="620"/>
    <n v="600"/>
    <n v="3195"/>
    <n v="50186140.68"/>
    <n v="123"/>
    <n v="361"/>
    <n v="609"/>
    <n v="25"/>
    <m/>
    <m/>
    <m/>
    <n v="0"/>
    <m/>
    <m/>
    <m/>
    <m/>
    <m/>
    <m/>
    <m/>
    <m/>
    <m/>
    <m/>
    <m/>
    <m/>
    <m/>
    <m/>
    <m/>
    <m/>
    <m/>
  </r>
  <r>
    <x v="0"/>
    <n v="19"/>
    <s v="NL"/>
    <x v="18"/>
    <s v="2016-2017"/>
    <x v="6"/>
    <n v="20067"/>
    <n v="9082"/>
    <n v="10985"/>
    <n v="90665"/>
    <n v="270"/>
    <m/>
    <m/>
    <n v="16187"/>
    <n v="264210.40940151631"/>
    <n v="11690"/>
    <n v="18667"/>
    <n v="4003"/>
    <m/>
    <m/>
    <n v="7514"/>
    <n v="3684"/>
    <n v="3797"/>
    <n v="3715"/>
    <n v="20067"/>
    <n v="206380341.27000001"/>
    <n v="989"/>
    <n v="1549"/>
    <n v="44247"/>
    <n v="1812"/>
    <m/>
    <m/>
    <m/>
    <n v="40750"/>
    <n v="459"/>
    <m/>
    <m/>
    <m/>
    <m/>
    <m/>
    <m/>
    <m/>
    <m/>
    <m/>
    <m/>
    <m/>
    <m/>
    <m/>
    <m/>
    <m/>
    <m/>
  </r>
  <r>
    <x v="1"/>
    <n v="20"/>
    <s v="OAX"/>
    <x v="19"/>
    <s v="2016-2017"/>
    <x v="6"/>
    <n v="6379"/>
    <n v="2505"/>
    <n v="3874"/>
    <n v="64804"/>
    <n v="127"/>
    <m/>
    <m/>
    <n v="5165"/>
    <n v="238629.8246244514"/>
    <n v="3009"/>
    <n v="6301"/>
    <n v="1392"/>
    <m/>
    <m/>
    <n v="2396"/>
    <n v="1203"/>
    <n v="1316"/>
    <n v="791"/>
    <n v="6379"/>
    <n v="161102864.30000001"/>
    <n v="392"/>
    <n v="637"/>
    <n v="2334"/>
    <n v="26"/>
    <m/>
    <m/>
    <m/>
    <n v="70"/>
    <m/>
    <m/>
    <m/>
    <m/>
    <m/>
    <m/>
    <m/>
    <m/>
    <m/>
    <m/>
    <m/>
    <m/>
    <m/>
    <m/>
    <m/>
    <m/>
    <m/>
  </r>
  <r>
    <x v="0"/>
    <n v="21"/>
    <s v="PUE"/>
    <x v="20"/>
    <s v="2016-2017"/>
    <x v="6"/>
    <n v="7260"/>
    <n v="2814"/>
    <n v="4446"/>
    <n v="112511"/>
    <n v="161"/>
    <m/>
    <m/>
    <n v="6045"/>
    <n v="365819.68174850667"/>
    <n v="3966"/>
    <n v="7128"/>
    <n v="1880"/>
    <m/>
    <m/>
    <n v="2813"/>
    <n v="1681"/>
    <n v="1602"/>
    <n v="1494"/>
    <n v="7260"/>
    <n v="142747445.18000001"/>
    <n v="396"/>
    <n v="1005"/>
    <n v="5771"/>
    <n v="160"/>
    <m/>
    <m/>
    <m/>
    <n v="3613"/>
    <m/>
    <m/>
    <m/>
    <m/>
    <m/>
    <m/>
    <m/>
    <m/>
    <m/>
    <m/>
    <m/>
    <m/>
    <m/>
    <m/>
    <m/>
    <m/>
    <m/>
  </r>
  <r>
    <x v="0"/>
    <n v="22"/>
    <s v="QRO"/>
    <x v="21"/>
    <s v="2016-2017"/>
    <x v="6"/>
    <n v="3418"/>
    <n v="1359"/>
    <n v="2059"/>
    <n v="38223"/>
    <n v="66"/>
    <m/>
    <m/>
    <n v="2773"/>
    <n v="113220.15701172216"/>
    <n v="2344"/>
    <n v="3482"/>
    <n v="806"/>
    <m/>
    <m/>
    <n v="1347"/>
    <n v="754"/>
    <n v="715"/>
    <n v="670"/>
    <n v="3418"/>
    <n v="44110957.090000004"/>
    <n v="273"/>
    <n v="449"/>
    <n v="1056"/>
    <n v="99"/>
    <m/>
    <m/>
    <m/>
    <n v="7"/>
    <m/>
    <m/>
    <m/>
    <m/>
    <m/>
    <m/>
    <m/>
    <m/>
    <m/>
    <m/>
    <m/>
    <m/>
    <m/>
    <m/>
    <m/>
    <m/>
    <m/>
  </r>
  <r>
    <x v="0"/>
    <n v="23"/>
    <s v="QROO"/>
    <x v="22"/>
    <s v="2016-2017"/>
    <x v="6"/>
    <n v="8129"/>
    <n v="3453"/>
    <n v="4676"/>
    <n v="25788"/>
    <n v="109"/>
    <m/>
    <m/>
    <n v="6630"/>
    <n v="83021.163387304725"/>
    <n v="4139"/>
    <n v="8052"/>
    <n v="2031"/>
    <m/>
    <m/>
    <n v="3422"/>
    <n v="1830"/>
    <n v="2146"/>
    <n v="2025"/>
    <n v="8129"/>
    <n v="95403303.569999993"/>
    <n v="403"/>
    <n v="771"/>
    <n v="101"/>
    <n v="13"/>
    <m/>
    <m/>
    <m/>
    <n v="73"/>
    <m/>
    <m/>
    <m/>
    <m/>
    <m/>
    <m/>
    <m/>
    <m/>
    <m/>
    <m/>
    <m/>
    <m/>
    <m/>
    <m/>
    <m/>
    <m/>
    <m/>
  </r>
  <r>
    <x v="0"/>
    <n v="24"/>
    <s v="SLP"/>
    <x v="23"/>
    <s v="2016-2017"/>
    <x v="6"/>
    <n v="5400"/>
    <n v="2244"/>
    <n v="3156"/>
    <n v="49538"/>
    <n v="90"/>
    <m/>
    <m/>
    <n v="4212"/>
    <n v="160457.85376460687"/>
    <n v="2723"/>
    <n v="5220"/>
    <n v="1143"/>
    <m/>
    <m/>
    <n v="2113"/>
    <n v="980"/>
    <n v="1065"/>
    <n v="1005"/>
    <n v="5400"/>
    <n v="83475628.680000007"/>
    <n v="288"/>
    <n v="427"/>
    <n v="4290"/>
    <n v="71"/>
    <m/>
    <m/>
    <m/>
    <n v="282"/>
    <m/>
    <m/>
    <m/>
    <m/>
    <m/>
    <m/>
    <m/>
    <m/>
    <m/>
    <m/>
    <m/>
    <m/>
    <m/>
    <m/>
    <m/>
    <m/>
    <m/>
  </r>
  <r>
    <x v="0"/>
    <n v="25"/>
    <s v="SIN"/>
    <x v="24"/>
    <s v="2016-2017"/>
    <x v="6"/>
    <n v="7854"/>
    <n v="2997"/>
    <n v="4857"/>
    <n v="43587"/>
    <n v="216"/>
    <m/>
    <m/>
    <n v="6793"/>
    <n v="164736.19777176625"/>
    <n v="3401"/>
    <n v="8506"/>
    <n v="2539"/>
    <m/>
    <m/>
    <n v="3734"/>
    <n v="2335"/>
    <n v="2267"/>
    <n v="2224"/>
    <n v="7854"/>
    <n v="211443635.19"/>
    <n v="525"/>
    <n v="1117"/>
    <n v="331"/>
    <n v="53"/>
    <m/>
    <m/>
    <m/>
    <n v="12"/>
    <m/>
    <m/>
    <m/>
    <m/>
    <m/>
    <m/>
    <m/>
    <m/>
    <m/>
    <m/>
    <m/>
    <m/>
    <m/>
    <m/>
    <m/>
    <m/>
    <m/>
  </r>
  <r>
    <x v="0"/>
    <n v="26"/>
    <s v="SON"/>
    <x v="25"/>
    <s v="2016-2017"/>
    <x v="6"/>
    <n v="15385"/>
    <n v="7175"/>
    <n v="8210"/>
    <n v="59864"/>
    <n v="258"/>
    <m/>
    <m/>
    <n v="12734"/>
    <n v="159265.55746443506"/>
    <n v="7310"/>
    <n v="14044"/>
    <n v="2786"/>
    <m/>
    <m/>
    <n v="5501"/>
    <n v="2385"/>
    <n v="2143"/>
    <n v="1816"/>
    <n v="15385"/>
    <n v="214571296.80000001"/>
    <n v="570"/>
    <n v="857"/>
    <n v="7200"/>
    <n v="587"/>
    <m/>
    <m/>
    <m/>
    <n v="0"/>
    <m/>
    <m/>
    <m/>
    <m/>
    <m/>
    <m/>
    <m/>
    <m/>
    <m/>
    <m/>
    <m/>
    <m/>
    <m/>
    <m/>
    <m/>
    <m/>
    <m/>
  </r>
  <r>
    <x v="0"/>
    <n v="27"/>
    <s v="TAB"/>
    <x v="26"/>
    <s v="2016-2017"/>
    <x v="6"/>
    <n v="5584"/>
    <n v="2109"/>
    <n v="3475"/>
    <n v="41493"/>
    <n v="76"/>
    <m/>
    <m/>
    <n v="4726"/>
    <n v="133909.77929229953"/>
    <n v="2169"/>
    <n v="5739"/>
    <n v="1492"/>
    <m/>
    <m/>
    <n v="2164"/>
    <n v="1341"/>
    <n v="1319"/>
    <n v="1268"/>
    <n v="5584"/>
    <n v="106609849.48"/>
    <n v="293"/>
    <n v="484"/>
    <n v="1976"/>
    <n v="129"/>
    <m/>
    <m/>
    <m/>
    <n v="28"/>
    <m/>
    <m/>
    <m/>
    <m/>
    <m/>
    <m/>
    <m/>
    <m/>
    <m/>
    <m/>
    <m/>
    <m/>
    <m/>
    <m/>
    <m/>
    <m/>
    <m/>
  </r>
  <r>
    <x v="0"/>
    <n v="28"/>
    <s v="TAMPS"/>
    <x v="27"/>
    <s v="2016-2017"/>
    <x v="6"/>
    <n v="8929"/>
    <n v="3648"/>
    <n v="5281"/>
    <n v="57183"/>
    <n v="157"/>
    <m/>
    <m/>
    <n v="7552"/>
    <n v="187483.87275360705"/>
    <n v="4049"/>
    <n v="9004"/>
    <n v="2056"/>
    <m/>
    <m/>
    <n v="3644"/>
    <n v="1856"/>
    <n v="2058"/>
    <n v="1851"/>
    <n v="8929"/>
    <n v="165592499.62"/>
    <n v="397"/>
    <n v="1077"/>
    <n v="3556"/>
    <n v="82"/>
    <m/>
    <m/>
    <m/>
    <n v="110"/>
    <n v="692"/>
    <m/>
    <m/>
    <m/>
    <m/>
    <m/>
    <m/>
    <m/>
    <m/>
    <m/>
    <m/>
    <m/>
    <m/>
    <m/>
    <m/>
    <m/>
    <m/>
  </r>
  <r>
    <x v="0"/>
    <n v="29"/>
    <s v="TLAX"/>
    <x v="28"/>
    <s v="2016-2017"/>
    <x v="6"/>
    <n v="3036"/>
    <n v="1333"/>
    <n v="1703"/>
    <n v="24542"/>
    <n v="48"/>
    <m/>
    <m/>
    <n v="2707"/>
    <n v="74007.270653160027"/>
    <n v="1482"/>
    <n v="2848"/>
    <n v="730"/>
    <m/>
    <m/>
    <n v="1269"/>
    <n v="604"/>
    <n v="655"/>
    <n v="653"/>
    <n v="3036"/>
    <n v="40424161.539999999"/>
    <n v="172"/>
    <n v="455"/>
    <n v="59"/>
    <n v="42"/>
    <m/>
    <m/>
    <m/>
    <n v="56"/>
    <m/>
    <m/>
    <m/>
    <m/>
    <m/>
    <m/>
    <m/>
    <m/>
    <m/>
    <m/>
    <m/>
    <m/>
    <m/>
    <m/>
    <m/>
    <m/>
    <m/>
  </r>
  <r>
    <x v="0"/>
    <n v="30"/>
    <s v="VER"/>
    <x v="29"/>
    <s v="2016-2017"/>
    <x v="6"/>
    <n v="9302"/>
    <n v="3448"/>
    <n v="5854"/>
    <n v="139073"/>
    <n v="176"/>
    <m/>
    <m/>
    <n v="7792"/>
    <n v="442000.15162501682"/>
    <n v="5408"/>
    <n v="9327"/>
    <n v="2338"/>
    <m/>
    <m/>
    <n v="3472"/>
    <n v="2121"/>
    <n v="2271"/>
    <n v="2135"/>
    <n v="9302"/>
    <n v="217163897.13"/>
    <n v="553"/>
    <n v="1543"/>
    <n v="5370"/>
    <n v="280"/>
    <m/>
    <m/>
    <m/>
    <n v="499"/>
    <n v="601"/>
    <m/>
    <m/>
    <m/>
    <m/>
    <m/>
    <m/>
    <m/>
    <m/>
    <m/>
    <m/>
    <m/>
    <m/>
    <m/>
    <m/>
    <m/>
    <m/>
  </r>
  <r>
    <x v="0"/>
    <n v="31"/>
    <s v="YUC"/>
    <x v="30"/>
    <s v="2016-2017"/>
    <x v="6"/>
    <n v="5114"/>
    <n v="2046"/>
    <n v="3068"/>
    <n v="33197"/>
    <n v="69"/>
    <m/>
    <m/>
    <n v="3718"/>
    <n v="110921.77471538878"/>
    <n v="2642"/>
    <n v="4839"/>
    <n v="1110"/>
    <m/>
    <m/>
    <n v="1841"/>
    <n v="982"/>
    <n v="899"/>
    <n v="739"/>
    <n v="5114"/>
    <n v="96311307.430000007"/>
    <n v="271"/>
    <n v="484"/>
    <n v="3318"/>
    <n v="472"/>
    <m/>
    <m/>
    <m/>
    <n v="132"/>
    <m/>
    <m/>
    <m/>
    <m/>
    <m/>
    <m/>
    <m/>
    <m/>
    <m/>
    <m/>
    <m/>
    <m/>
    <m/>
    <m/>
    <m/>
    <m/>
    <m/>
  </r>
  <r>
    <x v="0"/>
    <n v="32"/>
    <s v="ZAC"/>
    <x v="31"/>
    <s v="2016-2017"/>
    <x v="6"/>
    <n v="1610"/>
    <n v="736"/>
    <n v="874"/>
    <n v="30072"/>
    <n v="51"/>
    <m/>
    <m/>
    <n v="1243"/>
    <n v="90115.842866702355"/>
    <n v="812"/>
    <n v="1719"/>
    <n v="348"/>
    <m/>
    <m/>
    <n v="801"/>
    <n v="292"/>
    <n v="267"/>
    <n v="256"/>
    <n v="1610"/>
    <n v="35206510.600000001"/>
    <n v="76"/>
    <n v="197"/>
    <n v="543"/>
    <n v="151"/>
    <m/>
    <m/>
    <m/>
    <n v="0"/>
    <m/>
    <m/>
    <m/>
    <m/>
    <m/>
    <m/>
    <m/>
    <m/>
    <m/>
    <m/>
    <m/>
    <m/>
    <m/>
    <m/>
    <m/>
    <m/>
    <m/>
  </r>
  <r>
    <x v="2"/>
    <n v="33"/>
    <s v="OTRO"/>
    <x v="32"/>
    <s v="2016-2017"/>
    <x v="6"/>
    <m/>
    <m/>
    <m/>
    <m/>
    <m/>
    <m/>
    <m/>
    <m/>
    <m/>
    <m/>
    <m/>
    <m/>
    <m/>
    <m/>
    <m/>
    <m/>
    <m/>
    <m/>
    <m/>
    <m/>
    <m/>
    <m/>
    <m/>
    <m/>
    <m/>
    <m/>
    <m/>
    <n v="223"/>
    <m/>
    <m/>
    <m/>
    <m/>
    <m/>
    <m/>
    <m/>
    <m/>
    <m/>
    <m/>
    <m/>
    <m/>
    <m/>
    <m/>
    <m/>
    <m/>
    <m/>
  </r>
  <r>
    <x v="1"/>
    <n v="0"/>
    <s v="ON"/>
    <x v="33"/>
    <s v="2016-2017"/>
    <x v="6"/>
    <m/>
    <m/>
    <m/>
    <m/>
    <m/>
    <m/>
    <m/>
    <m/>
    <m/>
    <m/>
    <m/>
    <m/>
    <m/>
    <m/>
    <m/>
    <m/>
    <m/>
    <m/>
    <m/>
    <m/>
    <m/>
    <m/>
    <n v="2273"/>
    <m/>
    <m/>
    <m/>
    <m/>
    <n v="460"/>
    <m/>
    <n v="327125.75745099987"/>
    <n v="1521741.574"/>
    <n v="1521741.574"/>
    <n v="1524483.65"/>
    <n v="1470588.7209999999"/>
    <n v="1471983.65"/>
    <n v="1474213.6429999999"/>
    <n v="1476955.71"/>
    <n v="47527.930999999997"/>
    <n v="47527.94"/>
    <n v="51152.853000000003"/>
    <n v="1521741.574"/>
    <n v="51638.898000000001"/>
    <n v="52500"/>
    <n v="1521741.574"/>
    <n v="1524483.65"/>
  </r>
  <r>
    <x v="0"/>
    <n v="1"/>
    <s v="AGS"/>
    <x v="0"/>
    <s v="2017-2018"/>
    <x v="7"/>
    <n v="4662"/>
    <n v="1771"/>
    <n v="2891"/>
    <n v="23120"/>
    <n v="90"/>
    <n v="10"/>
    <n v="18"/>
    <n v="4325"/>
    <n v="75598.148803457036"/>
    <n v="2788"/>
    <n v="4628"/>
    <n v="1327"/>
    <m/>
    <m/>
    <n v="1860"/>
    <n v="1194"/>
    <n v="1021"/>
    <n v="930"/>
    <n v="4662"/>
    <n v="62940244.950000003"/>
    <n v="278"/>
    <n v="429"/>
    <n v="3677"/>
    <n v="334"/>
    <m/>
    <m/>
    <m/>
    <n v="861"/>
    <m/>
    <m/>
    <m/>
    <m/>
    <m/>
    <m/>
    <m/>
    <m/>
    <m/>
    <m/>
    <m/>
    <m/>
    <m/>
    <m/>
    <m/>
    <m/>
    <m/>
  </r>
  <r>
    <x v="0"/>
    <n v="2"/>
    <s v="BC"/>
    <x v="1"/>
    <s v="2017-2018"/>
    <x v="7"/>
    <n v="8249"/>
    <n v="3372"/>
    <n v="4877"/>
    <n v="57195"/>
    <n v="123"/>
    <n v="22"/>
    <n v="20"/>
    <n v="6428"/>
    <n v="187686.64734289853"/>
    <n v="3870"/>
    <n v="8090"/>
    <n v="1495"/>
    <m/>
    <m/>
    <n v="3277"/>
    <n v="1263"/>
    <n v="1348"/>
    <n v="1238"/>
    <n v="8249"/>
    <n v="134453006.91000003"/>
    <n v="385"/>
    <n v="749"/>
    <n v="3022"/>
    <n v="138"/>
    <m/>
    <m/>
    <m/>
    <n v="40"/>
    <n v="254"/>
    <m/>
    <m/>
    <m/>
    <m/>
    <m/>
    <m/>
    <m/>
    <m/>
    <m/>
    <m/>
    <m/>
    <m/>
    <m/>
    <m/>
    <m/>
    <m/>
  </r>
  <r>
    <x v="0"/>
    <n v="3"/>
    <s v="BCS"/>
    <x v="2"/>
    <s v="2017-2018"/>
    <x v="7"/>
    <n v="1664"/>
    <n v="572"/>
    <n v="1092"/>
    <n v="12013"/>
    <n v="18"/>
    <n v="5"/>
    <n v="1"/>
    <n v="1234"/>
    <n v="41868.59660841593"/>
    <n v="882"/>
    <n v="1878"/>
    <n v="438"/>
    <m/>
    <m/>
    <n v="709"/>
    <n v="352"/>
    <n v="455"/>
    <n v="422"/>
    <n v="1664"/>
    <n v="33737522.760000005"/>
    <n v="86"/>
    <n v="217"/>
    <n v="792"/>
    <n v="42"/>
    <m/>
    <m/>
    <m/>
    <n v="1"/>
    <m/>
    <m/>
    <m/>
    <m/>
    <m/>
    <m/>
    <m/>
    <m/>
    <m/>
    <m/>
    <m/>
    <m/>
    <m/>
    <m/>
    <m/>
    <m/>
    <m/>
  </r>
  <r>
    <x v="0"/>
    <n v="4"/>
    <s v="CAMP"/>
    <x v="3"/>
    <s v="2017-2018"/>
    <x v="7"/>
    <n v="1809"/>
    <n v="726"/>
    <n v="1083"/>
    <n v="15003"/>
    <n v="40"/>
    <n v="9"/>
    <n v="12"/>
    <n v="1279"/>
    <n v="48445.133432320828"/>
    <n v="836"/>
    <n v="1835"/>
    <n v="406"/>
    <m/>
    <m/>
    <n v="744"/>
    <n v="348"/>
    <n v="337"/>
    <n v="289"/>
    <n v="1809"/>
    <n v="40377865.43"/>
    <n v="104"/>
    <n v="331"/>
    <n v="236"/>
    <n v="96"/>
    <m/>
    <m/>
    <m/>
    <n v="395"/>
    <m/>
    <m/>
    <m/>
    <m/>
    <m/>
    <m/>
    <m/>
    <m/>
    <m/>
    <m/>
    <m/>
    <m/>
    <m/>
    <m/>
    <m/>
    <m/>
    <m/>
  </r>
  <r>
    <x v="0"/>
    <n v="7"/>
    <s v="CHIAP"/>
    <x v="4"/>
    <s v="2017-2018"/>
    <x v="7"/>
    <n v="7408"/>
    <n v="2680"/>
    <n v="4728"/>
    <n v="93621"/>
    <n v="167"/>
    <n v="18"/>
    <n v="51"/>
    <n v="6135"/>
    <n v="339199.38612340792"/>
    <n v="3253"/>
    <n v="7553"/>
    <n v="1871"/>
    <m/>
    <m/>
    <n v="2807"/>
    <n v="1669"/>
    <n v="1704"/>
    <n v="1459"/>
    <n v="7408"/>
    <n v="154916086.87"/>
    <n v="412"/>
    <n v="714"/>
    <n v="3960"/>
    <n v="159"/>
    <m/>
    <m/>
    <m/>
    <n v="140"/>
    <m/>
    <m/>
    <m/>
    <m/>
    <m/>
    <m/>
    <m/>
    <m/>
    <m/>
    <m/>
    <m/>
    <m/>
    <m/>
    <m/>
    <m/>
    <m/>
    <m/>
  </r>
  <r>
    <x v="0"/>
    <n v="8"/>
    <s v="CHIH"/>
    <x v="5"/>
    <s v="2017-2018"/>
    <x v="7"/>
    <n v="9203"/>
    <n v="3776"/>
    <n v="5427"/>
    <n v="55630"/>
    <n v="157"/>
    <n v="30"/>
    <n v="34"/>
    <n v="8150"/>
    <n v="202962.54778543254"/>
    <n v="4315"/>
    <n v="9095"/>
    <n v="1927"/>
    <m/>
    <m/>
    <n v="3922"/>
    <n v="1759"/>
    <n v="1887"/>
    <n v="1718"/>
    <n v="9203"/>
    <n v="149622540.54999998"/>
    <n v="537"/>
    <n v="983"/>
    <n v="9869"/>
    <n v="306"/>
    <m/>
    <m/>
    <m/>
    <n v="178"/>
    <n v="688"/>
    <m/>
    <m/>
    <m/>
    <m/>
    <m/>
    <m/>
    <m/>
    <m/>
    <m/>
    <m/>
    <m/>
    <m/>
    <m/>
    <m/>
    <m/>
    <m/>
  </r>
  <r>
    <x v="1"/>
    <n v="9"/>
    <s v="CDMX"/>
    <x v="6"/>
    <s v="2017-2018"/>
    <x v="7"/>
    <n v="44212"/>
    <n v="18720"/>
    <n v="25492"/>
    <n v="144092"/>
    <n v="579"/>
    <n v="101"/>
    <n v="146"/>
    <n v="35156"/>
    <n v="393735.68071603618"/>
    <n v="25657"/>
    <n v="44532"/>
    <n v="8423"/>
    <m/>
    <m/>
    <n v="18370"/>
    <n v="7196"/>
    <n v="6851"/>
    <n v="4513"/>
    <n v="44212"/>
    <n v="727900113.59000003"/>
    <n v="2140"/>
    <n v="3705"/>
    <n v="10792"/>
    <n v="637"/>
    <m/>
    <m/>
    <m/>
    <n v="1500"/>
    <m/>
    <m/>
    <m/>
    <m/>
    <m/>
    <m/>
    <m/>
    <m/>
    <m/>
    <m/>
    <m/>
    <m/>
    <m/>
    <m/>
    <m/>
    <m/>
    <m/>
  </r>
  <r>
    <x v="0"/>
    <n v="5"/>
    <s v="COAH"/>
    <x v="7"/>
    <s v="2017-2018"/>
    <x v="7"/>
    <n v="10066"/>
    <n v="4262"/>
    <n v="5804"/>
    <n v="60662"/>
    <n v="134"/>
    <n v="45"/>
    <n v="37"/>
    <n v="8575"/>
    <n v="163739.33545428055"/>
    <n v="6033"/>
    <n v="9358"/>
    <n v="2223"/>
    <m/>
    <m/>
    <n v="3366"/>
    <n v="2042"/>
    <n v="1717"/>
    <n v="1686"/>
    <n v="10066"/>
    <n v="146240443.06"/>
    <n v="436"/>
    <n v="1141"/>
    <n v="716"/>
    <n v="92"/>
    <m/>
    <m/>
    <m/>
    <n v="194"/>
    <m/>
    <m/>
    <m/>
    <m/>
    <m/>
    <m/>
    <m/>
    <m/>
    <m/>
    <m/>
    <m/>
    <m/>
    <m/>
    <m/>
    <m/>
    <m/>
    <m/>
  </r>
  <r>
    <x v="0"/>
    <n v="6"/>
    <s v="COL"/>
    <x v="8"/>
    <s v="2017-2018"/>
    <x v="7"/>
    <n v="1866"/>
    <n v="701"/>
    <n v="1165"/>
    <n v="11068"/>
    <n v="48"/>
    <n v="5"/>
    <n v="11"/>
    <n v="1144"/>
    <n v="38113.864591336576"/>
    <n v="846"/>
    <n v="1986"/>
    <n v="379"/>
    <m/>
    <m/>
    <n v="823"/>
    <n v="305"/>
    <n v="288"/>
    <n v="259"/>
    <n v="1866"/>
    <n v="40848159.449999996"/>
    <n v="117"/>
    <n v="320"/>
    <n v="833"/>
    <n v="0"/>
    <m/>
    <m/>
    <m/>
    <n v="201"/>
    <m/>
    <m/>
    <m/>
    <m/>
    <m/>
    <m/>
    <m/>
    <m/>
    <m/>
    <m/>
    <m/>
    <m/>
    <m/>
    <m/>
    <m/>
    <m/>
    <m/>
  </r>
  <r>
    <x v="0"/>
    <n v="10"/>
    <s v="DGO"/>
    <x v="9"/>
    <s v="2017-2018"/>
    <x v="7"/>
    <n v="2067"/>
    <n v="935"/>
    <n v="1132"/>
    <n v="32676"/>
    <n v="52"/>
    <n v="17"/>
    <n v="8"/>
    <n v="1722"/>
    <n v="102443.98670163711"/>
    <n v="1074"/>
    <n v="2142"/>
    <n v="459"/>
    <m/>
    <m/>
    <n v="1025"/>
    <n v="398"/>
    <n v="403"/>
    <n v="275"/>
    <n v="2067"/>
    <n v="39988050.210000001"/>
    <n v="151"/>
    <n v="260"/>
    <n v="2362"/>
    <n v="179"/>
    <m/>
    <m/>
    <m/>
    <n v="37"/>
    <m/>
    <m/>
    <m/>
    <m/>
    <m/>
    <m/>
    <m/>
    <m/>
    <m/>
    <m/>
    <m/>
    <m/>
    <m/>
    <m/>
    <m/>
    <m/>
    <m/>
  </r>
  <r>
    <x v="0"/>
    <n v="11"/>
    <s v="GTO"/>
    <x v="10"/>
    <s v="2017-2018"/>
    <x v="7"/>
    <n v="18067"/>
    <n v="7538"/>
    <n v="10529"/>
    <n v="120616"/>
    <n v="288"/>
    <n v="71"/>
    <n v="65"/>
    <n v="15006"/>
    <n v="339322.14632718515"/>
    <n v="10205"/>
    <n v="17266"/>
    <n v="4311"/>
    <m/>
    <m/>
    <n v="6355"/>
    <n v="4047"/>
    <n v="4743"/>
    <n v="4477"/>
    <n v="18067"/>
    <n v="239110062.75999999"/>
    <n v="860"/>
    <n v="2187"/>
    <n v="8486"/>
    <n v="674"/>
    <m/>
    <m/>
    <m/>
    <n v="6537"/>
    <n v="12897"/>
    <m/>
    <m/>
    <m/>
    <m/>
    <m/>
    <m/>
    <m/>
    <m/>
    <m/>
    <m/>
    <m/>
    <m/>
    <m/>
    <m/>
    <m/>
    <m/>
  </r>
  <r>
    <x v="0"/>
    <n v="12"/>
    <s v="GRO"/>
    <x v="11"/>
    <s v="2017-2018"/>
    <x v="7"/>
    <n v="6152"/>
    <n v="2421"/>
    <n v="3731"/>
    <n v="67537"/>
    <n v="128"/>
    <n v="22"/>
    <n v="43"/>
    <n v="4956"/>
    <n v="221402.55210199981"/>
    <n v="3288"/>
    <n v="6290"/>
    <n v="1515"/>
    <m/>
    <m/>
    <n v="2541"/>
    <n v="1362"/>
    <n v="1363"/>
    <n v="760"/>
    <n v="6152"/>
    <n v="129986523.43000001"/>
    <n v="298"/>
    <n v="719"/>
    <n v="1480"/>
    <n v="1068"/>
    <m/>
    <m/>
    <m/>
    <n v="1175"/>
    <m/>
    <m/>
    <m/>
    <m/>
    <m/>
    <m/>
    <m/>
    <m/>
    <m/>
    <m/>
    <m/>
    <m/>
    <m/>
    <m/>
    <m/>
    <m/>
    <m/>
  </r>
  <r>
    <x v="0"/>
    <n v="13"/>
    <s v="HGO"/>
    <x v="12"/>
    <s v="2017-2018"/>
    <x v="7"/>
    <n v="3648"/>
    <n v="1434"/>
    <n v="2214"/>
    <n v="54631"/>
    <n v="71"/>
    <n v="34"/>
    <n v="19"/>
    <n v="3195"/>
    <n v="161393.80743884723"/>
    <n v="1711"/>
    <n v="3715"/>
    <n v="818"/>
    <m/>
    <m/>
    <n v="1417"/>
    <n v="693"/>
    <n v="710"/>
    <n v="703"/>
    <n v="3648"/>
    <n v="62427701.560000002"/>
    <n v="203"/>
    <n v="428"/>
    <n v="1175"/>
    <n v="361"/>
    <m/>
    <m/>
    <m/>
    <n v="408"/>
    <m/>
    <m/>
    <m/>
    <m/>
    <m/>
    <m/>
    <m/>
    <m/>
    <m/>
    <m/>
    <m/>
    <m/>
    <m/>
    <m/>
    <m/>
    <m/>
    <m/>
  </r>
  <r>
    <x v="0"/>
    <n v="14"/>
    <s v="JAL"/>
    <x v="13"/>
    <s v="2017-2018"/>
    <x v="7"/>
    <n v="14856"/>
    <n v="5950"/>
    <n v="8906"/>
    <n v="138980"/>
    <n v="276"/>
    <n v="36"/>
    <n v="68"/>
    <n v="11552"/>
    <n v="433694.28945317143"/>
    <n v="6319"/>
    <n v="14712"/>
    <n v="3214"/>
    <m/>
    <m/>
    <n v="5847"/>
    <n v="2823"/>
    <n v="2841"/>
    <n v="2194"/>
    <n v="14856"/>
    <n v="253606710.19"/>
    <n v="877"/>
    <n v="2084"/>
    <n v="8294"/>
    <n v="907"/>
    <m/>
    <m/>
    <m/>
    <n v="228"/>
    <n v="504"/>
    <m/>
    <m/>
    <m/>
    <m/>
    <m/>
    <m/>
    <m/>
    <m/>
    <m/>
    <m/>
    <m/>
    <m/>
    <m/>
    <m/>
    <m/>
    <m/>
  </r>
  <r>
    <x v="0"/>
    <n v="15"/>
    <s v="MEX"/>
    <x v="14"/>
    <s v="2017-2018"/>
    <x v="7"/>
    <n v="48591"/>
    <n v="18859"/>
    <n v="29732"/>
    <n v="291713"/>
    <n v="774"/>
    <n v="133"/>
    <n v="197"/>
    <n v="41890"/>
    <n v="914058.32544967113"/>
    <n v="24437"/>
    <n v="48274"/>
    <n v="10103"/>
    <m/>
    <m/>
    <n v="19347"/>
    <n v="8478"/>
    <n v="8197"/>
    <n v="6722"/>
    <n v="48591"/>
    <n v="739896898.45999992"/>
    <n v="2322"/>
    <n v="4445"/>
    <n v="14747"/>
    <n v="1031"/>
    <m/>
    <m/>
    <m/>
    <n v="30630"/>
    <n v="429"/>
    <m/>
    <m/>
    <m/>
    <m/>
    <m/>
    <m/>
    <m/>
    <m/>
    <m/>
    <m/>
    <m/>
    <m/>
    <m/>
    <m/>
    <m/>
    <m/>
  </r>
  <r>
    <x v="0"/>
    <n v="16"/>
    <s v="MICH"/>
    <x v="15"/>
    <s v="2017-2018"/>
    <x v="7"/>
    <n v="11181"/>
    <n v="4573"/>
    <n v="6608"/>
    <n v="70513"/>
    <n v="220"/>
    <n v="28"/>
    <n v="52"/>
    <n v="9395"/>
    <n v="257745.76093572829"/>
    <n v="5520"/>
    <n v="11186"/>
    <n v="2820"/>
    <m/>
    <m/>
    <n v="4533"/>
    <n v="2425"/>
    <n v="2396"/>
    <n v="2150"/>
    <n v="11181"/>
    <n v="202375074.75999999"/>
    <n v="447"/>
    <n v="1204"/>
    <n v="3982"/>
    <n v="270"/>
    <m/>
    <m/>
    <m/>
    <n v="7715"/>
    <m/>
    <m/>
    <m/>
    <m/>
    <m/>
    <m/>
    <m/>
    <m/>
    <m/>
    <m/>
    <m/>
    <m/>
    <m/>
    <m/>
    <m/>
    <m/>
    <m/>
  </r>
  <r>
    <x v="0"/>
    <n v="17"/>
    <s v="MOR"/>
    <x v="16"/>
    <s v="2017-2018"/>
    <x v="7"/>
    <n v="4697"/>
    <n v="1947"/>
    <n v="2750"/>
    <n v="31772"/>
    <n v="72"/>
    <n v="15"/>
    <n v="16"/>
    <n v="3864"/>
    <n v="101461.14491197071"/>
    <n v="2284"/>
    <n v="4719"/>
    <n v="1174"/>
    <m/>
    <m/>
    <n v="2047"/>
    <n v="1076"/>
    <n v="1040"/>
    <n v="957"/>
    <n v="4697"/>
    <n v="68201138.769999996"/>
    <n v="242"/>
    <n v="532"/>
    <n v="4191"/>
    <n v="373"/>
    <m/>
    <m/>
    <m/>
    <n v="1311"/>
    <m/>
    <m/>
    <m/>
    <m/>
    <m/>
    <m/>
    <m/>
    <m/>
    <m/>
    <m/>
    <m/>
    <m/>
    <m/>
    <m/>
    <m/>
    <m/>
    <m/>
  </r>
  <r>
    <x v="0"/>
    <n v="18"/>
    <s v="NAY"/>
    <x v="17"/>
    <s v="2017-2018"/>
    <x v="7"/>
    <n v="3065"/>
    <n v="1127"/>
    <n v="1938"/>
    <n v="19363"/>
    <n v="61"/>
    <n v="6"/>
    <n v="11"/>
    <n v="2634"/>
    <n v="67057.060818604514"/>
    <n v="1299"/>
    <n v="3195"/>
    <n v="643"/>
    <m/>
    <m/>
    <n v="1099"/>
    <n v="588"/>
    <n v="639"/>
    <n v="586"/>
    <n v="3065"/>
    <n v="51631392.890000001"/>
    <n v="123"/>
    <n v="361"/>
    <n v="629"/>
    <n v="82"/>
    <m/>
    <m/>
    <m/>
    <n v="0"/>
    <m/>
    <m/>
    <m/>
    <m/>
    <m/>
    <m/>
    <m/>
    <m/>
    <m/>
    <m/>
    <m/>
    <m/>
    <m/>
    <m/>
    <m/>
    <m/>
    <m/>
  </r>
  <r>
    <x v="0"/>
    <n v="19"/>
    <s v="NL"/>
    <x v="18"/>
    <s v="2017-2018"/>
    <x v="7"/>
    <n v="21351"/>
    <n v="8908"/>
    <n v="12443"/>
    <n v="95814"/>
    <n v="274"/>
    <n v="72"/>
    <n v="71"/>
    <n v="17358"/>
    <n v="265652.98023607361"/>
    <n v="9881"/>
    <n v="20067"/>
    <n v="4051"/>
    <m/>
    <m/>
    <n v="7442"/>
    <n v="3658"/>
    <n v="3684"/>
    <n v="3551"/>
    <n v="21351"/>
    <n v="211600752.72999999"/>
    <n v="1046"/>
    <n v="1549"/>
    <n v="38367"/>
    <n v="1787"/>
    <m/>
    <m/>
    <m/>
    <n v="62504"/>
    <n v="511"/>
    <m/>
    <m/>
    <m/>
    <m/>
    <m/>
    <m/>
    <m/>
    <m/>
    <m/>
    <m/>
    <m/>
    <m/>
    <m/>
    <m/>
    <m/>
    <m/>
  </r>
  <r>
    <x v="1"/>
    <n v="20"/>
    <s v="OAX"/>
    <x v="19"/>
    <s v="2017-2018"/>
    <x v="7"/>
    <n v="6380"/>
    <n v="2314"/>
    <n v="4066"/>
    <n v="72598"/>
    <n v="127"/>
    <n v="14"/>
    <n v="16"/>
    <n v="5239"/>
    <n v="236266.70574677282"/>
    <n v="2916"/>
    <n v="6379"/>
    <n v="1323"/>
    <m/>
    <m/>
    <n v="2259"/>
    <n v="1128"/>
    <n v="1203"/>
    <n v="888"/>
    <n v="6380"/>
    <n v="173164800.44999999"/>
    <n v="381"/>
    <n v="637"/>
    <n v="2055"/>
    <n v="36"/>
    <m/>
    <m/>
    <m/>
    <n v="372"/>
    <m/>
    <m/>
    <m/>
    <m/>
    <m/>
    <m/>
    <m/>
    <m/>
    <m/>
    <m/>
    <m/>
    <m/>
    <m/>
    <m/>
    <m/>
    <m/>
    <m/>
  </r>
  <r>
    <x v="0"/>
    <n v="21"/>
    <s v="PUE"/>
    <x v="20"/>
    <s v="2017-2018"/>
    <x v="7"/>
    <n v="7439"/>
    <n v="2917"/>
    <n v="4522"/>
    <n v="125596"/>
    <n v="161"/>
    <n v="37"/>
    <n v="42"/>
    <n v="6223"/>
    <n v="364173.02984084236"/>
    <n v="4223"/>
    <n v="7260"/>
    <n v="1855"/>
    <m/>
    <m/>
    <n v="2818"/>
    <n v="1669"/>
    <n v="1681"/>
    <n v="1562"/>
    <n v="7439"/>
    <n v="146685714.02000001"/>
    <n v="393"/>
    <n v="1005"/>
    <n v="4484"/>
    <n v="168"/>
    <m/>
    <m/>
    <m/>
    <n v="4232"/>
    <m/>
    <m/>
    <m/>
    <m/>
    <m/>
    <m/>
    <m/>
    <m/>
    <m/>
    <m/>
    <m/>
    <m/>
    <m/>
    <m/>
    <m/>
    <m/>
    <m/>
  </r>
  <r>
    <x v="0"/>
    <n v="22"/>
    <s v="QRO"/>
    <x v="21"/>
    <s v="2017-2018"/>
    <x v="7"/>
    <n v="3418"/>
    <n v="1463"/>
    <n v="1955"/>
    <n v="34515"/>
    <n v="66"/>
    <n v="16"/>
    <n v="25"/>
    <n v="2873"/>
    <n v="113026.69883774169"/>
    <n v="2071"/>
    <n v="3418"/>
    <n v="884"/>
    <m/>
    <m/>
    <n v="1476"/>
    <n v="811"/>
    <n v="754"/>
    <n v="723"/>
    <n v="3418"/>
    <n v="45334871.540000007"/>
    <n v="246"/>
    <n v="449"/>
    <n v="1617"/>
    <n v="71"/>
    <m/>
    <m/>
    <m/>
    <n v="0"/>
    <m/>
    <m/>
    <m/>
    <m/>
    <m/>
    <m/>
    <m/>
    <m/>
    <m/>
    <m/>
    <m/>
    <m/>
    <m/>
    <m/>
    <m/>
    <m/>
    <m/>
  </r>
  <r>
    <x v="0"/>
    <n v="23"/>
    <s v="QROO"/>
    <x v="22"/>
    <s v="2017-2018"/>
    <x v="7"/>
    <n v="8622"/>
    <n v="3406"/>
    <n v="5216"/>
    <n v="26440"/>
    <n v="109"/>
    <n v="15"/>
    <n v="29"/>
    <n v="7095"/>
    <n v="83978.873874572979"/>
    <n v="3817"/>
    <n v="8129"/>
    <n v="1739"/>
    <m/>
    <m/>
    <n v="2777"/>
    <n v="1512"/>
    <n v="1830"/>
    <n v="1697"/>
    <n v="8622"/>
    <n v="97942159.229999989"/>
    <n v="432"/>
    <n v="771"/>
    <n v="210"/>
    <n v="0"/>
    <m/>
    <m/>
    <m/>
    <n v="32"/>
    <m/>
    <m/>
    <m/>
    <m/>
    <m/>
    <m/>
    <m/>
    <m/>
    <m/>
    <m/>
    <m/>
    <m/>
    <m/>
    <m/>
    <m/>
    <m/>
    <m/>
  </r>
  <r>
    <x v="0"/>
    <n v="24"/>
    <s v="SLP"/>
    <x v="23"/>
    <s v="2017-2018"/>
    <x v="7"/>
    <n v="5729"/>
    <n v="2322"/>
    <n v="3407"/>
    <n v="58469"/>
    <n v="90"/>
    <n v="19"/>
    <n v="25"/>
    <n v="4445"/>
    <n v="159670.65915548397"/>
    <n v="3026"/>
    <n v="5400"/>
    <n v="1125"/>
    <m/>
    <m/>
    <n v="2096"/>
    <n v="989"/>
    <n v="980"/>
    <n v="921"/>
    <n v="5729"/>
    <n v="85770398.209999993"/>
    <n v="249"/>
    <n v="427"/>
    <n v="4791"/>
    <n v="190"/>
    <m/>
    <m/>
    <m/>
    <n v="851"/>
    <m/>
    <m/>
    <m/>
    <m/>
    <m/>
    <m/>
    <m/>
    <m/>
    <m/>
    <m/>
    <m/>
    <m/>
    <m/>
    <m/>
    <m/>
    <m/>
    <m/>
  </r>
  <r>
    <x v="0"/>
    <n v="25"/>
    <s v="SIN"/>
    <x v="24"/>
    <s v="2017-2018"/>
    <x v="7"/>
    <n v="8577"/>
    <n v="3909"/>
    <n v="4668"/>
    <n v="54201"/>
    <n v="216"/>
    <n v="67"/>
    <n v="42"/>
    <n v="7468"/>
    <n v="163676.19828688691"/>
    <n v="4442"/>
    <n v="7854"/>
    <n v="1915"/>
    <m/>
    <m/>
    <n v="3009"/>
    <n v="1739"/>
    <n v="2335"/>
    <n v="2244"/>
    <n v="8577"/>
    <n v="217435835.59"/>
    <n v="535"/>
    <n v="1117"/>
    <n v="410"/>
    <n v="241"/>
    <m/>
    <m/>
    <m/>
    <n v="28"/>
    <m/>
    <m/>
    <m/>
    <m/>
    <m/>
    <m/>
    <m/>
    <m/>
    <m/>
    <m/>
    <m/>
    <m/>
    <m/>
    <m/>
    <m/>
    <m/>
    <m/>
  </r>
  <r>
    <x v="0"/>
    <n v="26"/>
    <s v="SON"/>
    <x v="25"/>
    <s v="2017-2018"/>
    <x v="7"/>
    <n v="15277"/>
    <n v="6180"/>
    <n v="9097"/>
    <n v="48293"/>
    <n v="260"/>
    <n v="35"/>
    <n v="49"/>
    <n v="12888"/>
    <n v="159910.74779471883"/>
    <n v="6335"/>
    <n v="15385"/>
    <n v="2886"/>
    <m/>
    <m/>
    <n v="5686"/>
    <n v="2463"/>
    <n v="2385"/>
    <n v="1963"/>
    <n v="15277"/>
    <n v="220480112.47"/>
    <n v="605"/>
    <n v="857"/>
    <n v="7657"/>
    <n v="579"/>
    <m/>
    <m/>
    <m/>
    <n v="0"/>
    <m/>
    <m/>
    <m/>
    <m/>
    <m/>
    <m/>
    <m/>
    <m/>
    <m/>
    <m/>
    <m/>
    <m/>
    <m/>
    <m/>
    <m/>
    <m/>
    <m/>
  </r>
  <r>
    <x v="0"/>
    <n v="27"/>
    <s v="TAB"/>
    <x v="26"/>
    <s v="2017-2018"/>
    <x v="7"/>
    <n v="5685"/>
    <n v="2206"/>
    <n v="3479"/>
    <n v="40315"/>
    <n v="89"/>
    <n v="20"/>
    <n v="22"/>
    <n v="4884"/>
    <n v="133447.88163723628"/>
    <n v="2207"/>
    <n v="5584"/>
    <n v="1400"/>
    <m/>
    <m/>
    <n v="2162"/>
    <n v="1303"/>
    <n v="1341"/>
    <n v="1270"/>
    <n v="5685"/>
    <n v="109629582.92000002"/>
    <n v="294"/>
    <n v="484"/>
    <n v="1011"/>
    <n v="4"/>
    <m/>
    <m/>
    <m/>
    <n v="8"/>
    <m/>
    <m/>
    <m/>
    <m/>
    <m/>
    <m/>
    <m/>
    <m/>
    <m/>
    <m/>
    <m/>
    <m/>
    <m/>
    <m/>
    <m/>
    <m/>
    <m/>
  </r>
  <r>
    <x v="0"/>
    <n v="28"/>
    <s v="TAMPS"/>
    <x v="27"/>
    <s v="2017-2018"/>
    <x v="7"/>
    <n v="8707"/>
    <n v="3276"/>
    <n v="5431"/>
    <n v="53952"/>
    <n v="157"/>
    <n v="30"/>
    <n v="37"/>
    <n v="7558"/>
    <n v="187602.00965312397"/>
    <n v="3644"/>
    <n v="8929"/>
    <n v="2127"/>
    <m/>
    <m/>
    <n v="3511"/>
    <n v="1898"/>
    <n v="1856"/>
    <n v="1721"/>
    <n v="8707"/>
    <n v="170226883.19999999"/>
    <n v="392"/>
    <n v="1077"/>
    <n v="10735"/>
    <n v="177"/>
    <m/>
    <m/>
    <m/>
    <n v="95"/>
    <n v="711"/>
    <m/>
    <m/>
    <m/>
    <m/>
    <m/>
    <m/>
    <m/>
    <m/>
    <m/>
    <m/>
    <m/>
    <m/>
    <m/>
    <m/>
    <m/>
    <m/>
  </r>
  <r>
    <x v="0"/>
    <n v="29"/>
    <s v="TLAX"/>
    <x v="28"/>
    <s v="2017-2018"/>
    <x v="7"/>
    <n v="3243"/>
    <n v="1320"/>
    <n v="1923"/>
    <n v="23702"/>
    <n v="48"/>
    <n v="21"/>
    <n v="13"/>
    <n v="2929"/>
    <n v="74174.189282836684"/>
    <n v="1484"/>
    <n v="3036"/>
    <n v="688"/>
    <m/>
    <m/>
    <n v="1224"/>
    <n v="562"/>
    <n v="604"/>
    <n v="596"/>
    <n v="3243"/>
    <n v="41570346.460000008"/>
    <n v="176"/>
    <n v="455"/>
    <n v="1455"/>
    <n v="43"/>
    <m/>
    <m/>
    <m/>
    <n v="66"/>
    <m/>
    <m/>
    <m/>
    <m/>
    <m/>
    <m/>
    <m/>
    <m/>
    <m/>
    <m/>
    <m/>
    <m/>
    <m/>
    <m/>
    <m/>
    <m/>
    <m/>
  </r>
  <r>
    <x v="0"/>
    <n v="30"/>
    <s v="VER"/>
    <x v="29"/>
    <s v="2017-2018"/>
    <x v="7"/>
    <n v="9115"/>
    <n v="3208"/>
    <n v="5907"/>
    <n v="135695"/>
    <n v="176"/>
    <n v="40"/>
    <n v="78"/>
    <n v="7767"/>
    <n v="437150.9048392534"/>
    <n v="4837"/>
    <n v="9302"/>
    <n v="2432"/>
    <m/>
    <m/>
    <n v="3471"/>
    <n v="2218"/>
    <n v="2121"/>
    <n v="1869"/>
    <n v="9115"/>
    <n v="223349061.37000003"/>
    <n v="549"/>
    <n v="1543"/>
    <n v="5496"/>
    <n v="115"/>
    <m/>
    <m/>
    <m/>
    <n v="580"/>
    <n v="631"/>
    <m/>
    <m/>
    <m/>
    <m/>
    <m/>
    <m/>
    <m/>
    <m/>
    <m/>
    <m/>
    <m/>
    <m/>
    <m/>
    <m/>
    <m/>
    <m/>
  </r>
  <r>
    <x v="0"/>
    <n v="31"/>
    <s v="YUC"/>
    <x v="30"/>
    <s v="2017-2018"/>
    <x v="7"/>
    <n v="5258"/>
    <n v="2052"/>
    <n v="3206"/>
    <n v="36412"/>
    <n v="69"/>
    <n v="10"/>
    <n v="17"/>
    <n v="3892"/>
    <n v="110577.73312521525"/>
    <n v="2516"/>
    <n v="5114"/>
    <n v="1149"/>
    <m/>
    <m/>
    <n v="1794"/>
    <n v="1031"/>
    <n v="982"/>
    <n v="792"/>
    <n v="5258"/>
    <n v="98997778.909999996"/>
    <n v="272"/>
    <n v="484"/>
    <n v="4545"/>
    <n v="421"/>
    <m/>
    <m/>
    <m/>
    <n v="429"/>
    <m/>
    <m/>
    <m/>
    <m/>
    <m/>
    <m/>
    <m/>
    <m/>
    <m/>
    <m/>
    <m/>
    <m/>
    <m/>
    <m/>
    <m/>
    <m/>
    <m/>
  </r>
  <r>
    <x v="0"/>
    <n v="32"/>
    <s v="ZAC"/>
    <x v="31"/>
    <s v="2017-2018"/>
    <x v="7"/>
    <n v="1552"/>
    <n v="675"/>
    <n v="877"/>
    <n v="28539"/>
    <n v="51"/>
    <n v="12"/>
    <n v="9"/>
    <n v="1230"/>
    <n v="89510.408551906468"/>
    <n v="746"/>
    <n v="1610"/>
    <n v="305"/>
    <m/>
    <m/>
    <n v="695"/>
    <n v="260"/>
    <n v="292"/>
    <n v="288"/>
    <n v="1552"/>
    <n v="36192694.990000002"/>
    <n v="74"/>
    <n v="197"/>
    <n v="2319"/>
    <n v="84"/>
    <m/>
    <m/>
    <m/>
    <n v="0"/>
    <m/>
    <m/>
    <m/>
    <m/>
    <m/>
    <m/>
    <m/>
    <m/>
    <m/>
    <m/>
    <m/>
    <m/>
    <m/>
    <m/>
    <m/>
    <m/>
    <m/>
  </r>
  <r>
    <x v="2"/>
    <n v="33"/>
    <s v="OTRO"/>
    <x v="32"/>
    <s v="2017-2018"/>
    <x v="7"/>
    <m/>
    <m/>
    <m/>
    <m/>
    <m/>
    <m/>
    <m/>
    <m/>
    <m/>
    <m/>
    <m/>
    <m/>
    <m/>
    <m/>
    <m/>
    <m/>
    <m/>
    <m/>
    <m/>
    <m/>
    <m/>
    <m/>
    <m/>
    <m/>
    <m/>
    <m/>
    <m/>
    <n v="187"/>
    <m/>
    <m/>
    <m/>
    <m/>
    <m/>
    <m/>
    <m/>
    <m/>
    <m/>
    <m/>
    <m/>
    <m/>
    <m/>
    <m/>
    <m/>
    <m/>
    <m/>
  </r>
  <r>
    <x v="1"/>
    <n v="0"/>
    <s v="ON"/>
    <x v="33"/>
    <s v="2017-2018"/>
    <x v="7"/>
    <m/>
    <m/>
    <m/>
    <m/>
    <m/>
    <m/>
    <m/>
    <m/>
    <m/>
    <m/>
    <m/>
    <m/>
    <m/>
    <m/>
    <m/>
    <m/>
    <m/>
    <m/>
    <m/>
    <m/>
    <m/>
    <m/>
    <n v="3330"/>
    <m/>
    <m/>
    <m/>
    <m/>
    <n v="459"/>
    <m/>
    <n v="364874.22713000007"/>
    <n v="1581332.3219999999"/>
    <n v="1581332.3219999999"/>
    <n v="1587194"/>
    <n v="1532193.57"/>
    <n v="1532193.57"/>
    <n v="1522202.77"/>
    <n v="1528064.0179999999"/>
    <n v="59130"/>
    <n v="59130"/>
    <n v="49138.752"/>
    <n v="1581332.3219999999"/>
    <n v="49482.362999999998"/>
    <n v="55000"/>
    <n v="1581332.3219999999"/>
    <n v="1587193.57"/>
  </r>
  <r>
    <x v="0"/>
    <n v="1"/>
    <s v="AGS"/>
    <x v="0"/>
    <s v="2018-2019"/>
    <x v="8"/>
    <n v="4691"/>
    <n v="1689"/>
    <n v="3002"/>
    <n v="21805"/>
    <n v="84"/>
    <n v="11"/>
    <n v="21"/>
    <n v="4334"/>
    <n v="75808.311396180841"/>
    <n v="2929"/>
    <n v="4662"/>
    <n v="1234"/>
    <n v="770"/>
    <n v="4496"/>
    <n v="1765"/>
    <n v="1070"/>
    <n v="1194"/>
    <n v="1064"/>
    <n v="4691"/>
    <n v="70616739.590000004"/>
    <n v="280"/>
    <n v="429"/>
    <n v="3514"/>
    <n v="298"/>
    <m/>
    <m/>
    <n v="1732"/>
    <n v="1532"/>
    <m/>
    <m/>
    <m/>
    <m/>
    <m/>
    <m/>
    <m/>
    <m/>
    <m/>
    <m/>
    <m/>
    <m/>
    <m/>
    <m/>
    <m/>
    <m/>
    <m/>
  </r>
  <r>
    <x v="0"/>
    <n v="2"/>
    <s v="BC"/>
    <x v="1"/>
    <s v="2018-2019"/>
    <x v="8"/>
    <n v="8462"/>
    <n v="3296"/>
    <n v="5166"/>
    <n v="56479"/>
    <n v="125"/>
    <n v="32"/>
    <n v="24"/>
    <n v="6581"/>
    <n v="186658.86964677856"/>
    <n v="3633"/>
    <n v="8249"/>
    <n v="1657"/>
    <n v="2349"/>
    <n v="7357"/>
    <n v="3651"/>
    <n v="1412"/>
    <n v="1263"/>
    <n v="1059"/>
    <n v="8462"/>
    <n v="138342186.01499999"/>
    <n v="401"/>
    <n v="749"/>
    <n v="5453"/>
    <n v="42"/>
    <m/>
    <m/>
    <n v="68"/>
    <n v="66"/>
    <n v="191"/>
    <m/>
    <m/>
    <m/>
    <m/>
    <m/>
    <m/>
    <m/>
    <m/>
    <m/>
    <m/>
    <m/>
    <m/>
    <m/>
    <m/>
    <m/>
    <m/>
  </r>
  <r>
    <x v="0"/>
    <n v="3"/>
    <s v="BCS"/>
    <x v="2"/>
    <s v="2018-2019"/>
    <x v="8"/>
    <n v="1697"/>
    <n v="679"/>
    <n v="1018"/>
    <n v="11931"/>
    <n v="18"/>
    <n v="5"/>
    <n v="1"/>
    <n v="1302"/>
    <n v="42737.553261914298"/>
    <n v="998"/>
    <n v="1664"/>
    <n v="407"/>
    <n v="304"/>
    <n v="1544"/>
    <n v="660"/>
    <n v="344"/>
    <n v="352"/>
    <n v="343"/>
    <n v="1697"/>
    <n v="34713244.295000002"/>
    <n v="86"/>
    <n v="217"/>
    <n v="892"/>
    <n v="1"/>
    <m/>
    <m/>
    <n v="28"/>
    <n v="26"/>
    <m/>
    <m/>
    <m/>
    <m/>
    <m/>
    <m/>
    <m/>
    <m/>
    <m/>
    <m/>
    <m/>
    <m/>
    <m/>
    <m/>
    <m/>
    <m/>
    <m/>
  </r>
  <r>
    <x v="0"/>
    <n v="4"/>
    <s v="CAMP"/>
    <x v="3"/>
    <s v="2018-2019"/>
    <x v="8"/>
    <n v="1896"/>
    <n v="798"/>
    <n v="1098"/>
    <n v="14821"/>
    <n v="41"/>
    <n v="9"/>
    <n v="12"/>
    <n v="1410"/>
    <n v="48515.707763085884"/>
    <n v="890"/>
    <n v="1809"/>
    <n v="399"/>
    <n v="385"/>
    <n v="1634"/>
    <n v="753"/>
    <n v="347"/>
    <n v="348"/>
    <n v="331"/>
    <n v="1896"/>
    <n v="41514866.774999999"/>
    <n v="103"/>
    <n v="331"/>
    <n v="4126"/>
    <n v="28"/>
    <m/>
    <m/>
    <n v="610"/>
    <n v="412"/>
    <m/>
    <m/>
    <m/>
    <m/>
    <m/>
    <m/>
    <m/>
    <m/>
    <m/>
    <m/>
    <m/>
    <m/>
    <m/>
    <m/>
    <m/>
    <m/>
    <m/>
  </r>
  <r>
    <x v="0"/>
    <n v="7"/>
    <s v="CHIAP"/>
    <x v="4"/>
    <s v="2018-2019"/>
    <x v="8"/>
    <n v="7012"/>
    <n v="2491"/>
    <n v="4521"/>
    <n v="92666"/>
    <n v="161"/>
    <n v="18"/>
    <n v="49"/>
    <n v="5908"/>
    <n v="337660.69736999623"/>
    <n v="3014"/>
    <n v="7408"/>
    <n v="1967"/>
    <n v="1235"/>
    <n v="6960"/>
    <n v="2774"/>
    <n v="1786"/>
    <n v="1669"/>
    <n v="1457"/>
    <n v="7012"/>
    <n v="178638342.06"/>
    <n v="404"/>
    <n v="714"/>
    <n v="2459"/>
    <n v="59"/>
    <m/>
    <m/>
    <n v="104"/>
    <n v="92"/>
    <m/>
    <m/>
    <m/>
    <m/>
    <m/>
    <m/>
    <m/>
    <m/>
    <m/>
    <m/>
    <m/>
    <m/>
    <m/>
    <m/>
    <m/>
    <m/>
    <m/>
  </r>
  <r>
    <x v="0"/>
    <n v="8"/>
    <s v="CHIH"/>
    <x v="5"/>
    <s v="2018-2019"/>
    <x v="8"/>
    <n v="8573"/>
    <n v="3347"/>
    <n v="5226"/>
    <n v="55045"/>
    <n v="153"/>
    <n v="47"/>
    <n v="29"/>
    <n v="7550"/>
    <n v="203462.17822436258"/>
    <n v="4072"/>
    <n v="9203"/>
    <n v="2135"/>
    <n v="1907"/>
    <n v="8048"/>
    <n v="4125"/>
    <n v="1917"/>
    <n v="1759"/>
    <n v="1559"/>
    <n v="8573"/>
    <n v="170095384.97"/>
    <n v="579"/>
    <n v="983"/>
    <n v="7969"/>
    <n v="433"/>
    <m/>
    <m/>
    <n v="767"/>
    <n v="752"/>
    <n v="898"/>
    <m/>
    <m/>
    <m/>
    <m/>
    <m/>
    <m/>
    <m/>
    <m/>
    <m/>
    <m/>
    <m/>
    <m/>
    <m/>
    <m/>
    <m/>
    <m/>
  </r>
  <r>
    <x v="1"/>
    <n v="9"/>
    <s v="CDMX"/>
    <x v="6"/>
    <s v="2018-2019"/>
    <x v="8"/>
    <n v="44161"/>
    <n v="18512"/>
    <n v="25649"/>
    <n v="143823"/>
    <n v="582"/>
    <n v="136"/>
    <n v="134"/>
    <n v="35063"/>
    <n v="389384.78122435423"/>
    <n v="24850"/>
    <n v="44212"/>
    <n v="9312"/>
    <n v="12730"/>
    <n v="38202"/>
    <n v="19962"/>
    <n v="7909"/>
    <n v="7196"/>
    <n v="4704"/>
    <n v="44161"/>
    <n v="694705445.45000005"/>
    <n v="2173"/>
    <n v="3705"/>
    <n v="8387"/>
    <n v="998"/>
    <m/>
    <m/>
    <n v="1998"/>
    <n v="1708"/>
    <m/>
    <m/>
    <m/>
    <m/>
    <m/>
    <m/>
    <m/>
    <m/>
    <m/>
    <m/>
    <m/>
    <m/>
    <m/>
    <m/>
    <m/>
    <m/>
    <m/>
  </r>
  <r>
    <x v="0"/>
    <n v="5"/>
    <s v="COAH"/>
    <x v="7"/>
    <s v="2018-2019"/>
    <x v="8"/>
    <n v="10398"/>
    <n v="3963"/>
    <n v="6435"/>
    <n v="59454"/>
    <n v="134"/>
    <n v="45"/>
    <n v="37"/>
    <n v="9011"/>
    <n v="163335.43795797112"/>
    <n v="5009"/>
    <n v="10066"/>
    <n v="2703"/>
    <n v="776"/>
    <n v="9579"/>
    <n v="4120"/>
    <n v="2500"/>
    <n v="2042"/>
    <n v="2036"/>
    <n v="10398"/>
    <n v="150515608.10499999"/>
    <n v="419"/>
    <n v="1141"/>
    <n v="3892"/>
    <n v="34"/>
    <m/>
    <m/>
    <n v="357"/>
    <n v="335"/>
    <m/>
    <m/>
    <m/>
    <m/>
    <m/>
    <m/>
    <m/>
    <m/>
    <m/>
    <m/>
    <m/>
    <m/>
    <m/>
    <m/>
    <m/>
    <m/>
    <m/>
  </r>
  <r>
    <x v="0"/>
    <n v="6"/>
    <s v="COL"/>
    <x v="8"/>
    <s v="2018-2019"/>
    <x v="8"/>
    <n v="1891"/>
    <n v="763"/>
    <n v="1128"/>
    <n v="10048"/>
    <n v="47"/>
    <n v="6"/>
    <n v="11"/>
    <n v="1231"/>
    <n v="38472.361797444217"/>
    <n v="872"/>
    <n v="1866"/>
    <n v="425"/>
    <n v="468"/>
    <n v="1652"/>
    <n v="883"/>
    <n v="343"/>
    <n v="305"/>
    <n v="273"/>
    <n v="1891"/>
    <n v="41980594.155000001"/>
    <n v="124"/>
    <n v="320"/>
    <n v="1128"/>
    <n v="34"/>
    <m/>
    <m/>
    <n v="217"/>
    <n v="215"/>
    <m/>
    <m/>
    <m/>
    <m/>
    <m/>
    <m/>
    <m/>
    <m/>
    <m/>
    <m/>
    <m/>
    <m/>
    <m/>
    <m/>
    <m/>
    <m/>
    <m/>
  </r>
  <r>
    <x v="0"/>
    <n v="10"/>
    <s v="DGO"/>
    <x v="9"/>
    <s v="2018-2019"/>
    <x v="8"/>
    <n v="1930"/>
    <n v="744"/>
    <n v="1186"/>
    <n v="32285"/>
    <n v="51"/>
    <n v="19"/>
    <n v="10"/>
    <n v="1565"/>
    <n v="101820.24451699779"/>
    <n v="835"/>
    <n v="2067"/>
    <n v="408"/>
    <n v="508"/>
    <n v="1751"/>
    <n v="936"/>
    <n v="360"/>
    <n v="398"/>
    <n v="283"/>
    <n v="1930"/>
    <n v="41121216.439999998"/>
    <n v="156"/>
    <n v="260"/>
    <n v="3123"/>
    <n v="57"/>
    <m/>
    <m/>
    <n v="275"/>
    <n v="223"/>
    <m/>
    <m/>
    <m/>
    <m/>
    <m/>
    <m/>
    <m/>
    <m/>
    <m/>
    <m/>
    <m/>
    <m/>
    <m/>
    <m/>
    <m/>
    <m/>
    <m/>
  </r>
  <r>
    <x v="0"/>
    <n v="11"/>
    <s v="GTO"/>
    <x v="10"/>
    <s v="2018-2019"/>
    <x v="8"/>
    <n v="18132"/>
    <n v="6642"/>
    <n v="11490"/>
    <n v="120395"/>
    <n v="293"/>
    <n v="94"/>
    <n v="82"/>
    <n v="15005"/>
    <n v="336593.79068756441"/>
    <n v="8813"/>
    <n v="18067"/>
    <n v="4452"/>
    <n v="3578"/>
    <n v="17114"/>
    <n v="6444"/>
    <n v="4130"/>
    <n v="4047"/>
    <n v="3859"/>
    <n v="18132"/>
    <n v="262369796.815"/>
    <n v="863"/>
    <n v="2187"/>
    <n v="8126"/>
    <n v="516"/>
    <m/>
    <m/>
    <n v="8414"/>
    <n v="6410"/>
    <n v="16429"/>
    <m/>
    <m/>
    <m/>
    <m/>
    <m/>
    <m/>
    <m/>
    <m/>
    <m/>
    <m/>
    <m/>
    <m/>
    <m/>
    <m/>
    <m/>
    <m/>
  </r>
  <r>
    <x v="0"/>
    <n v="12"/>
    <s v="GRO"/>
    <x v="11"/>
    <s v="2018-2019"/>
    <x v="8"/>
    <n v="6134"/>
    <n v="2388"/>
    <n v="3746"/>
    <n v="65658"/>
    <n v="129"/>
    <n v="22"/>
    <n v="43"/>
    <n v="4957"/>
    <n v="219410.76827348556"/>
    <n v="3143"/>
    <n v="6152"/>
    <n v="1536"/>
    <n v="1461"/>
    <n v="5674"/>
    <n v="2626"/>
    <n v="1375"/>
    <n v="1362"/>
    <n v="875"/>
    <n v="6134"/>
    <n v="144889688"/>
    <n v="297"/>
    <n v="719"/>
    <n v="7440"/>
    <n v="1041"/>
    <m/>
    <m/>
    <n v="1289"/>
    <n v="852"/>
    <m/>
    <m/>
    <m/>
    <m/>
    <m/>
    <m/>
    <m/>
    <m/>
    <m/>
    <m/>
    <m/>
    <m/>
    <m/>
    <m/>
    <m/>
    <m/>
    <m/>
  </r>
  <r>
    <x v="0"/>
    <n v="13"/>
    <s v="HGO"/>
    <x v="12"/>
    <s v="2018-2019"/>
    <x v="8"/>
    <n v="3519"/>
    <n v="1421"/>
    <n v="2098"/>
    <n v="53733"/>
    <n v="69"/>
    <n v="38"/>
    <n v="17"/>
    <n v="3102"/>
    <n v="161832.19050681879"/>
    <n v="1648"/>
    <n v="3648"/>
    <n v="934"/>
    <n v="597"/>
    <n v="3341"/>
    <n v="1678"/>
    <n v="835"/>
    <n v="693"/>
    <n v="687"/>
    <n v="3519"/>
    <n v="64281548.229999997"/>
    <n v="205"/>
    <n v="428"/>
    <n v="1323"/>
    <n v="501"/>
    <m/>
    <m/>
    <n v="126"/>
    <n v="105"/>
    <m/>
    <m/>
    <m/>
    <m/>
    <m/>
    <m/>
    <m/>
    <m/>
    <m/>
    <m/>
    <m/>
    <m/>
    <m/>
    <m/>
    <m/>
    <m/>
    <m/>
  </r>
  <r>
    <x v="0"/>
    <n v="14"/>
    <s v="JAL"/>
    <x v="13"/>
    <s v="2018-2019"/>
    <x v="8"/>
    <n v="14341"/>
    <n v="5515"/>
    <n v="8826"/>
    <n v="134896"/>
    <n v="272"/>
    <n v="36"/>
    <n v="67"/>
    <n v="11644"/>
    <n v="433925.91746385908"/>
    <n v="5788"/>
    <n v="14856"/>
    <n v="3444"/>
    <n v="2927"/>
    <n v="13563"/>
    <n v="5953"/>
    <n v="3056"/>
    <n v="2823"/>
    <n v="2409"/>
    <n v="14341"/>
    <n v="265319155.36000001"/>
    <n v="818"/>
    <n v="2084"/>
    <n v="12472"/>
    <n v="793"/>
    <m/>
    <m/>
    <n v="236"/>
    <n v="158"/>
    <n v="602"/>
    <m/>
    <m/>
    <m/>
    <m/>
    <m/>
    <m/>
    <m/>
    <m/>
    <m/>
    <m/>
    <m/>
    <m/>
    <m/>
    <m/>
    <m/>
    <m/>
  </r>
  <r>
    <x v="0"/>
    <n v="15"/>
    <s v="MEX"/>
    <x v="14"/>
    <s v="2018-2019"/>
    <x v="8"/>
    <n v="47926"/>
    <n v="18922"/>
    <n v="29004"/>
    <n v="276938"/>
    <n v="799"/>
    <n v="182"/>
    <n v="205"/>
    <n v="41514"/>
    <n v="915661.71066119196"/>
    <n v="23969"/>
    <n v="48591"/>
    <n v="11056"/>
    <n v="8557"/>
    <n v="44232"/>
    <n v="20621"/>
    <n v="9450"/>
    <n v="8478"/>
    <n v="6665"/>
    <n v="47926"/>
    <n v="760825417.91999996"/>
    <n v="2280"/>
    <n v="4445"/>
    <n v="11415"/>
    <n v="1216"/>
    <m/>
    <m/>
    <n v="78681"/>
    <n v="67149"/>
    <n v="816"/>
    <m/>
    <m/>
    <m/>
    <m/>
    <m/>
    <m/>
    <m/>
    <m/>
    <m/>
    <m/>
    <m/>
    <m/>
    <m/>
    <m/>
    <m/>
    <m/>
  </r>
  <r>
    <x v="0"/>
    <n v="16"/>
    <s v="MICH"/>
    <x v="15"/>
    <s v="2018-2019"/>
    <x v="8"/>
    <n v="11087"/>
    <n v="4376"/>
    <n v="6711"/>
    <n v="64370"/>
    <n v="221"/>
    <n v="28"/>
    <n v="52"/>
    <n v="9457"/>
    <n v="255970.68001497566"/>
    <n v="5108"/>
    <n v="11181"/>
    <n v="2701"/>
    <n v="1051"/>
    <n v="10126"/>
    <n v="4395"/>
    <n v="2319"/>
    <n v="2425"/>
    <n v="2101"/>
    <n v="11087"/>
    <n v="207638682.71000001"/>
    <n v="440"/>
    <n v="1204"/>
    <n v="2699"/>
    <n v="428"/>
    <m/>
    <m/>
    <n v="11720"/>
    <n v="7206"/>
    <m/>
    <m/>
    <m/>
    <m/>
    <m/>
    <m/>
    <m/>
    <m/>
    <m/>
    <m/>
    <m/>
    <m/>
    <m/>
    <m/>
    <m/>
    <m/>
    <m/>
  </r>
  <r>
    <x v="0"/>
    <n v="17"/>
    <s v="MOR"/>
    <x v="16"/>
    <s v="2018-2019"/>
    <x v="8"/>
    <n v="4640"/>
    <n v="1846"/>
    <n v="2794"/>
    <n v="31140"/>
    <n v="74"/>
    <n v="15"/>
    <n v="13"/>
    <n v="3870"/>
    <n v="101124.76256756038"/>
    <n v="2179"/>
    <n v="4697"/>
    <n v="1134"/>
    <n v="956"/>
    <n v="4189"/>
    <n v="1929"/>
    <n v="1036"/>
    <n v="1076"/>
    <n v="978"/>
    <n v="4640"/>
    <n v="70347282.655000001"/>
    <n v="238"/>
    <n v="532"/>
    <n v="2994"/>
    <n v="612"/>
    <m/>
    <m/>
    <n v="1887"/>
    <n v="1873"/>
    <m/>
    <m/>
    <m/>
    <m/>
    <m/>
    <m/>
    <m/>
    <m/>
    <m/>
    <m/>
    <m/>
    <m/>
    <m/>
    <m/>
    <m/>
    <m/>
    <m/>
  </r>
  <r>
    <x v="0"/>
    <n v="18"/>
    <s v="NAY"/>
    <x v="17"/>
    <s v="2018-2019"/>
    <x v="8"/>
    <n v="2794"/>
    <n v="1114"/>
    <n v="1680"/>
    <n v="18794"/>
    <n v="59"/>
    <n v="10"/>
    <n v="14"/>
    <n v="2431"/>
    <n v="67820.162576919043"/>
    <n v="1332"/>
    <n v="3065"/>
    <n v="698"/>
    <n v="808"/>
    <n v="2638"/>
    <n v="1264"/>
    <n v="630"/>
    <n v="588"/>
    <n v="421"/>
    <n v="2794"/>
    <n v="52976716.07"/>
    <n v="124"/>
    <n v="361"/>
    <n v="2109"/>
    <n v="111"/>
    <m/>
    <m/>
    <n v="2"/>
    <n v="2"/>
    <m/>
    <m/>
    <m/>
    <m/>
    <m/>
    <m/>
    <m/>
    <m/>
    <m/>
    <m/>
    <m/>
    <m/>
    <m/>
    <m/>
    <m/>
    <m/>
    <m/>
  </r>
  <r>
    <x v="0"/>
    <n v="19"/>
    <s v="NL"/>
    <x v="18"/>
    <s v="2018-2019"/>
    <x v="8"/>
    <n v="21326"/>
    <n v="7840"/>
    <n v="13486"/>
    <n v="94982"/>
    <n v="295"/>
    <n v="66"/>
    <n v="78"/>
    <n v="17243"/>
    <n v="266980.64734868531"/>
    <n v="9033"/>
    <n v="21351"/>
    <n v="4726"/>
    <n v="4121"/>
    <n v="19837"/>
    <n v="8223"/>
    <n v="4378"/>
    <n v="3658"/>
    <n v="3518"/>
    <n v="21326"/>
    <n v="243463751.80000001"/>
    <n v="1084"/>
    <n v="1549"/>
    <n v="27119"/>
    <n v="2664"/>
    <m/>
    <m/>
    <n v="90276"/>
    <n v="58432"/>
    <n v="426"/>
    <m/>
    <m/>
    <m/>
    <m/>
    <m/>
    <m/>
    <m/>
    <m/>
    <m/>
    <m/>
    <m/>
    <m/>
    <m/>
    <m/>
    <m/>
    <m/>
  </r>
  <r>
    <x v="1"/>
    <n v="20"/>
    <s v="OAX"/>
    <x v="19"/>
    <s v="2018-2019"/>
    <x v="8"/>
    <n v="6115"/>
    <n v="2220"/>
    <n v="3895"/>
    <n v="65886"/>
    <n v="119"/>
    <n v="25"/>
    <n v="29"/>
    <n v="5054"/>
    <n v="234207.61868783121"/>
    <n v="2753"/>
    <n v="6380"/>
    <n v="1573"/>
    <n v="1422"/>
    <n v="5933"/>
    <n v="2568"/>
    <n v="1373"/>
    <n v="1128"/>
    <n v="789"/>
    <n v="6115"/>
    <n v="198204901.90000001"/>
    <n v="400"/>
    <n v="637"/>
    <n v="3586"/>
    <n v="20"/>
    <m/>
    <m/>
    <n v="635"/>
    <n v="549"/>
    <m/>
    <m/>
    <m/>
    <m/>
    <m/>
    <m/>
    <m/>
    <m/>
    <m/>
    <m/>
    <m/>
    <m/>
    <m/>
    <m/>
    <m/>
    <m/>
    <m/>
  </r>
  <r>
    <x v="0"/>
    <n v="21"/>
    <s v="PUE"/>
    <x v="20"/>
    <s v="2018-2019"/>
    <x v="8"/>
    <n v="7310"/>
    <n v="2756"/>
    <n v="4554"/>
    <n v="120674"/>
    <n v="151"/>
    <n v="36"/>
    <n v="40"/>
    <n v="6135"/>
    <n v="362648.64012946235"/>
    <n v="3917"/>
    <n v="7439"/>
    <n v="1955"/>
    <n v="764"/>
    <n v="6929"/>
    <n v="2822"/>
    <n v="1769"/>
    <n v="1669"/>
    <n v="1497"/>
    <n v="7310"/>
    <n v="151077190.185"/>
    <n v="397"/>
    <n v="1005"/>
    <n v="3898"/>
    <n v="151"/>
    <m/>
    <m/>
    <n v="4572"/>
    <n v="3346"/>
    <m/>
    <m/>
    <m/>
    <m/>
    <m/>
    <m/>
    <m/>
    <m/>
    <m/>
    <m/>
    <m/>
    <m/>
    <m/>
    <m/>
    <m/>
    <m/>
    <m/>
  </r>
  <r>
    <x v="0"/>
    <n v="22"/>
    <s v="QRO"/>
    <x v="21"/>
    <s v="2018-2019"/>
    <x v="8"/>
    <n v="3473"/>
    <n v="1380"/>
    <n v="2093"/>
    <n v="34202"/>
    <n v="67"/>
    <n v="24"/>
    <n v="28"/>
    <n v="2993"/>
    <n v="112953.81869980853"/>
    <n v="1968"/>
    <n v="3418"/>
    <n v="829"/>
    <n v="797"/>
    <n v="3178"/>
    <n v="1374"/>
    <n v="745"/>
    <n v="811"/>
    <n v="778"/>
    <n v="3473"/>
    <n v="53835720.295000002"/>
    <n v="241"/>
    <n v="449"/>
    <n v="1223"/>
    <n v="80"/>
    <m/>
    <m/>
    <n v="4"/>
    <n v="2"/>
    <m/>
    <m/>
    <m/>
    <m/>
    <m/>
    <m/>
    <m/>
    <m/>
    <m/>
    <m/>
    <m/>
    <m/>
    <m/>
    <m/>
    <m/>
    <m/>
    <m/>
  </r>
  <r>
    <x v="0"/>
    <n v="23"/>
    <s v="QROO"/>
    <x v="22"/>
    <s v="2018-2019"/>
    <x v="8"/>
    <n v="8590"/>
    <n v="3139"/>
    <n v="5451"/>
    <n v="26046"/>
    <n v="109"/>
    <n v="15"/>
    <n v="29"/>
    <n v="6895"/>
    <n v="85062.009804503905"/>
    <n v="3612"/>
    <n v="8622"/>
    <n v="1955"/>
    <n v="1409"/>
    <n v="8020"/>
    <n v="3286"/>
    <n v="1786"/>
    <n v="1512"/>
    <n v="1353"/>
    <n v="8590"/>
    <n v="100698271.145"/>
    <n v="425"/>
    <n v="771"/>
    <n v="2332"/>
    <n v="11"/>
    <m/>
    <m/>
    <n v="174"/>
    <n v="148"/>
    <m/>
    <m/>
    <m/>
    <m/>
    <m/>
    <m/>
    <m/>
    <m/>
    <m/>
    <m/>
    <m/>
    <m/>
    <m/>
    <m/>
    <m/>
    <m/>
    <m/>
  </r>
  <r>
    <x v="0"/>
    <n v="24"/>
    <s v="SLP"/>
    <x v="23"/>
    <s v="2018-2019"/>
    <x v="8"/>
    <n v="5259"/>
    <n v="1930"/>
    <n v="3329"/>
    <n v="57201"/>
    <n v="99"/>
    <n v="24"/>
    <n v="24"/>
    <n v="4224"/>
    <n v="158793.48904400849"/>
    <n v="2424"/>
    <n v="5729"/>
    <n v="1320"/>
    <n v="1411"/>
    <n v="5053"/>
    <n v="2258"/>
    <n v="1163"/>
    <n v="989"/>
    <n v="912"/>
    <n v="5259"/>
    <n v="88231432.405000001"/>
    <n v="246"/>
    <n v="427"/>
    <n v="3301"/>
    <n v="87"/>
    <m/>
    <m/>
    <n v="578"/>
    <n v="556"/>
    <m/>
    <m/>
    <m/>
    <m/>
    <m/>
    <m/>
    <m/>
    <m/>
    <m/>
    <m/>
    <m/>
    <m/>
    <m/>
    <m/>
    <m/>
    <m/>
    <m/>
  </r>
  <r>
    <x v="0"/>
    <n v="25"/>
    <s v="SIN"/>
    <x v="24"/>
    <s v="2018-2019"/>
    <x v="8"/>
    <n v="8604"/>
    <n v="3373"/>
    <n v="5231"/>
    <n v="52946"/>
    <n v="234"/>
    <n v="72"/>
    <n v="42"/>
    <n v="7544"/>
    <n v="162640.48544064179"/>
    <n v="3775"/>
    <n v="8577"/>
    <n v="2101"/>
    <n v="1875"/>
    <n v="7910"/>
    <n v="3326"/>
    <n v="1964"/>
    <n v="1739"/>
    <n v="1696"/>
    <n v="8604"/>
    <n v="247272786.785"/>
    <n v="529"/>
    <n v="1117"/>
    <n v="487"/>
    <n v="124"/>
    <m/>
    <m/>
    <n v="57"/>
    <n v="14"/>
    <m/>
    <m/>
    <m/>
    <m/>
    <m/>
    <m/>
    <m/>
    <m/>
    <m/>
    <m/>
    <m/>
    <m/>
    <m/>
    <m/>
    <m/>
    <m/>
    <m/>
  </r>
  <r>
    <x v="0"/>
    <n v="26"/>
    <s v="SON"/>
    <x v="25"/>
    <s v="2018-2019"/>
    <x v="8"/>
    <n v="14826"/>
    <n v="5940"/>
    <n v="8886"/>
    <n v="47160"/>
    <n v="269"/>
    <n v="47"/>
    <n v="51"/>
    <n v="12472"/>
    <n v="160641.37028213684"/>
    <n v="6161"/>
    <n v="15277"/>
    <n v="2926"/>
    <n v="4038"/>
    <n v="13713"/>
    <n v="6199"/>
    <n v="2606"/>
    <n v="2463"/>
    <n v="1715"/>
    <n v="14826"/>
    <n v="226945796.19499999"/>
    <n v="662"/>
    <n v="857"/>
    <n v="5794"/>
    <n v="494"/>
    <m/>
    <m/>
    <n v="5"/>
    <n v="0"/>
    <m/>
    <m/>
    <m/>
    <m/>
    <m/>
    <m/>
    <m/>
    <m/>
    <m/>
    <m/>
    <m/>
    <m/>
    <m/>
    <m/>
    <m/>
    <m/>
    <m/>
  </r>
  <r>
    <x v="0"/>
    <n v="27"/>
    <s v="TAB"/>
    <x v="26"/>
    <s v="2018-2019"/>
    <x v="8"/>
    <n v="5608"/>
    <n v="2062"/>
    <n v="3546"/>
    <n v="41273"/>
    <n v="88"/>
    <n v="21"/>
    <n v="22"/>
    <n v="4932"/>
    <n v="133002.08940500516"/>
    <n v="2062"/>
    <n v="5685"/>
    <n v="1527"/>
    <n v="644"/>
    <n v="5316"/>
    <n v="2280"/>
    <n v="1398"/>
    <n v="1303"/>
    <n v="1195"/>
    <n v="5608"/>
    <n v="112835125.86"/>
    <n v="294"/>
    <n v="484"/>
    <n v="430"/>
    <n v="27"/>
    <m/>
    <m/>
    <n v="132"/>
    <n v="71"/>
    <m/>
    <m/>
    <m/>
    <m/>
    <m/>
    <m/>
    <m/>
    <m/>
    <m/>
    <m/>
    <m/>
    <m/>
    <m/>
    <m/>
    <m/>
    <m/>
    <m/>
  </r>
  <r>
    <x v="0"/>
    <n v="28"/>
    <s v="TAMPS"/>
    <x v="27"/>
    <s v="2018-2019"/>
    <x v="8"/>
    <n v="8533"/>
    <n v="3183"/>
    <n v="5350"/>
    <n v="51248"/>
    <n v="157"/>
    <n v="30"/>
    <n v="37"/>
    <n v="7449"/>
    <n v="187732.87996738573"/>
    <n v="3548"/>
    <n v="8707"/>
    <n v="2052"/>
    <n v="1820"/>
    <n v="8137"/>
    <n v="3517"/>
    <n v="1856"/>
    <n v="1898"/>
    <n v="1630"/>
    <n v="8533"/>
    <n v="175108866.91499999"/>
    <n v="388"/>
    <n v="1077"/>
    <n v="10400"/>
    <n v="171"/>
    <m/>
    <m/>
    <n v="160"/>
    <n v="131"/>
    <n v="104"/>
    <m/>
    <m/>
    <m/>
    <m/>
    <m/>
    <m/>
    <m/>
    <m/>
    <m/>
    <m/>
    <m/>
    <m/>
    <m/>
    <m/>
    <m/>
    <m/>
  </r>
  <r>
    <x v="0"/>
    <n v="29"/>
    <s v="TLAX"/>
    <x v="28"/>
    <s v="2018-2019"/>
    <x v="8"/>
    <n v="3232"/>
    <n v="1170"/>
    <n v="2062"/>
    <n v="23003"/>
    <n v="49"/>
    <n v="18"/>
    <n v="15"/>
    <n v="2871"/>
    <n v="74315.320716950271"/>
    <n v="1389"/>
    <n v="3243"/>
    <n v="709"/>
    <n v="387"/>
    <n v="2964"/>
    <n v="1143"/>
    <n v="594"/>
    <n v="562"/>
    <n v="546"/>
    <n v="3232"/>
    <n v="42775667.829999998"/>
    <n v="182"/>
    <n v="455"/>
    <n v="2082"/>
    <n v="119"/>
    <m/>
    <m/>
    <n v="26"/>
    <n v="23"/>
    <m/>
    <m/>
    <m/>
    <m/>
    <m/>
    <m/>
    <m/>
    <m/>
    <m/>
    <m/>
    <m/>
    <m/>
    <m/>
    <m/>
    <m/>
    <m/>
    <m/>
  </r>
  <r>
    <x v="0"/>
    <n v="30"/>
    <s v="VER"/>
    <x v="29"/>
    <s v="2018-2019"/>
    <x v="8"/>
    <n v="8858"/>
    <n v="3279"/>
    <n v="5579"/>
    <n v="131256"/>
    <n v="174"/>
    <n v="42"/>
    <n v="77"/>
    <n v="7747"/>
    <n v="432896.89882477239"/>
    <n v="4334"/>
    <n v="9115"/>
    <n v="2633"/>
    <n v="1053"/>
    <n v="8678"/>
    <n v="3736"/>
    <n v="2472"/>
    <n v="2218"/>
    <n v="1979"/>
    <n v="8858"/>
    <n v="234497481.155"/>
    <n v="531"/>
    <n v="1543"/>
    <n v="7078"/>
    <n v="132"/>
    <m/>
    <m/>
    <n v="907"/>
    <n v="768"/>
    <n v="720"/>
    <m/>
    <m/>
    <m/>
    <m/>
    <m/>
    <m/>
    <m/>
    <m/>
    <m/>
    <m/>
    <m/>
    <m/>
    <m/>
    <m/>
    <m/>
    <m/>
  </r>
  <r>
    <x v="0"/>
    <n v="31"/>
    <s v="YUC"/>
    <x v="30"/>
    <s v="2018-2019"/>
    <x v="8"/>
    <n v="5303"/>
    <n v="1915"/>
    <n v="3388"/>
    <n v="35849"/>
    <n v="69"/>
    <n v="9"/>
    <n v="20"/>
    <n v="3944"/>
    <n v="110271.51218978132"/>
    <n v="2492"/>
    <n v="5258"/>
    <n v="1162"/>
    <n v="1197"/>
    <n v="4990"/>
    <n v="1913"/>
    <n v="1030"/>
    <n v="1031"/>
    <n v="820"/>
    <n v="5303"/>
    <n v="109480043.905"/>
    <n v="277"/>
    <n v="484"/>
    <n v="3327"/>
    <n v="525"/>
    <m/>
    <m/>
    <n v="445"/>
    <n v="433"/>
    <m/>
    <m/>
    <m/>
    <m/>
    <m/>
    <m/>
    <m/>
    <m/>
    <m/>
    <m/>
    <m/>
    <m/>
    <m/>
    <m/>
    <m/>
    <m/>
    <m/>
  </r>
  <r>
    <x v="0"/>
    <n v="32"/>
    <s v="ZAC"/>
    <x v="31"/>
    <s v="2018-2019"/>
    <x v="8"/>
    <n v="1538"/>
    <n v="619"/>
    <n v="919"/>
    <n v="26709"/>
    <n v="60"/>
    <n v="18"/>
    <n v="7"/>
    <n v="1226"/>
    <n v="89190.403622109137"/>
    <n v="671"/>
    <n v="1552"/>
    <n v="311"/>
    <n v="503"/>
    <n v="1377"/>
    <n v="779"/>
    <n v="262"/>
    <n v="260"/>
    <n v="259"/>
    <n v="1538"/>
    <n v="41952964.865000002"/>
    <n v="85"/>
    <n v="197"/>
    <n v="2252"/>
    <n v="218"/>
    <m/>
    <m/>
    <n v="78"/>
    <n v="78"/>
    <m/>
    <m/>
    <m/>
    <m/>
    <m/>
    <m/>
    <m/>
    <m/>
    <m/>
    <m/>
    <m/>
    <m/>
    <m/>
    <m/>
    <m/>
    <m/>
    <m/>
  </r>
  <r>
    <x v="2"/>
    <n v="33"/>
    <s v="OTRO"/>
    <x v="32"/>
    <s v="2018-2019"/>
    <x v="8"/>
    <m/>
    <m/>
    <m/>
    <m/>
    <m/>
    <m/>
    <m/>
    <m/>
    <m/>
    <m/>
    <m/>
    <m/>
    <m/>
    <m/>
    <m/>
    <m/>
    <m/>
    <m/>
    <m/>
    <m/>
    <m/>
    <m/>
    <m/>
    <m/>
    <m/>
    <m/>
    <n v="707"/>
    <n v="664"/>
    <m/>
    <m/>
    <m/>
    <m/>
    <m/>
    <m/>
    <m/>
    <m/>
    <m/>
    <m/>
    <m/>
    <m/>
    <m/>
    <m/>
    <m/>
    <m/>
    <m/>
  </r>
  <r>
    <x v="1"/>
    <n v="0"/>
    <s v="ON"/>
    <x v="33"/>
    <s v="2018-2019"/>
    <x v="8"/>
    <m/>
    <m/>
    <m/>
    <m/>
    <m/>
    <m/>
    <m/>
    <m/>
    <m/>
    <m/>
    <m/>
    <m/>
    <m/>
    <m/>
    <m/>
    <m/>
    <m/>
    <m/>
    <m/>
    <m/>
    <m/>
    <m/>
    <n v="1188"/>
    <m/>
    <m/>
    <m/>
    <n v="9842"/>
    <n v="9103"/>
    <m/>
    <n v="367837.29021000001"/>
    <n v="1578480"/>
    <n v="1578480"/>
    <n v="1583166"/>
    <n v="1528166.3060000001"/>
    <n v="1528166.3060000001"/>
    <n v="1574833.44"/>
    <n v="1579519.281"/>
    <n v="3647.0250000000001"/>
    <n v="3647.0250000000001"/>
    <n v="50314.159"/>
    <n v="1578480.4650000001"/>
    <n v="50568.584999999999"/>
    <n v="55000"/>
    <n v="1578480.4650000001"/>
    <n v="1583166.3060000001"/>
  </r>
  <r>
    <x v="0"/>
    <n v="1"/>
    <s v="AGS"/>
    <x v="0"/>
    <s v="2019-2020"/>
    <x v="9"/>
    <n v="4532"/>
    <n v="1624"/>
    <n v="2908"/>
    <n v="20849"/>
    <n v="83"/>
    <n v="19"/>
    <n v="22"/>
    <n v="4229"/>
    <n v="76089.885340188019"/>
    <n v="2841"/>
    <n v="4691"/>
    <n v="1274"/>
    <n v="744"/>
    <n v="4422"/>
    <n v="1649"/>
    <n v="1121"/>
    <n v="1070"/>
    <n v="980"/>
    <n v="4532"/>
    <n v="72608135.109999999"/>
    <n v="284"/>
    <n v="429"/>
    <n v="2286"/>
    <n v="229"/>
    <m/>
    <m/>
    <n v="928"/>
    <n v="837"/>
    <m/>
    <m/>
    <m/>
    <m/>
    <m/>
    <m/>
    <m/>
    <m/>
    <m/>
    <m/>
    <m/>
    <m/>
    <m/>
    <m/>
    <m/>
    <m/>
    <m/>
  </r>
  <r>
    <x v="0"/>
    <n v="2"/>
    <s v="BC"/>
    <x v="1"/>
    <s v="2019-2020"/>
    <x v="9"/>
    <n v="8748"/>
    <n v="3476"/>
    <n v="5272"/>
    <n v="54463"/>
    <n v="125"/>
    <n v="32"/>
    <n v="24"/>
    <n v="7161"/>
    <n v="186332.64311271018"/>
    <n v="3993"/>
    <n v="8462"/>
    <n v="1919"/>
    <n v="2160"/>
    <n v="7683"/>
    <n v="3472"/>
    <n v="1641"/>
    <n v="1412"/>
    <n v="1310"/>
    <n v="8748"/>
    <n v="142428325.71000001"/>
    <n v="398"/>
    <n v="749"/>
    <n v="4935"/>
    <n v="94"/>
    <m/>
    <m/>
    <n v="4087"/>
    <n v="3004"/>
    <n v="167"/>
    <m/>
    <m/>
    <m/>
    <m/>
    <m/>
    <m/>
    <m/>
    <m/>
    <m/>
    <m/>
    <m/>
    <m/>
    <m/>
    <m/>
    <m/>
    <m/>
  </r>
  <r>
    <x v="0"/>
    <n v="3"/>
    <s v="BCS"/>
    <x v="2"/>
    <s v="2019-2020"/>
    <x v="9"/>
    <n v="1538"/>
    <n v="602"/>
    <n v="936"/>
    <n v="12072"/>
    <n v="18"/>
    <n v="5"/>
    <n v="1"/>
    <n v="1248"/>
    <n v="43628.798319416732"/>
    <n v="951"/>
    <n v="1697"/>
    <n v="505"/>
    <n v="274"/>
    <n v="1592"/>
    <n v="795"/>
    <n v="443"/>
    <n v="344"/>
    <n v="332"/>
    <n v="1538"/>
    <n v="35740883.659999996"/>
    <n v="87"/>
    <n v="217"/>
    <n v="427"/>
    <n v="113"/>
    <m/>
    <m/>
    <n v="1"/>
    <n v="1"/>
    <m/>
    <m/>
    <m/>
    <m/>
    <m/>
    <m/>
    <m/>
    <m/>
    <m/>
    <m/>
    <m/>
    <m/>
    <m/>
    <m/>
    <m/>
    <m/>
    <m/>
  </r>
  <r>
    <x v="0"/>
    <n v="4"/>
    <s v="CAMP"/>
    <x v="3"/>
    <s v="2019-2020"/>
    <x v="9"/>
    <n v="1953"/>
    <n v="758"/>
    <n v="1195"/>
    <n v="13383"/>
    <n v="39"/>
    <n v="9"/>
    <n v="13"/>
    <n v="1493"/>
    <n v="48648.813757323194"/>
    <n v="853"/>
    <n v="1896"/>
    <n v="419"/>
    <n v="350"/>
    <n v="1719"/>
    <n v="694"/>
    <n v="356"/>
    <n v="347"/>
    <n v="320"/>
    <n v="1953"/>
    <n v="42748511.799999997"/>
    <n v="116"/>
    <n v="331"/>
    <n v="1651"/>
    <n v="210"/>
    <m/>
    <m/>
    <n v="2167"/>
    <n v="1206"/>
    <m/>
    <m/>
    <m/>
    <m/>
    <m/>
    <m/>
    <m/>
    <m/>
    <m/>
    <m/>
    <m/>
    <m/>
    <m/>
    <m/>
    <m/>
    <m/>
    <m/>
  </r>
  <r>
    <x v="0"/>
    <n v="7"/>
    <s v="CHIAP"/>
    <x v="4"/>
    <s v="2019-2020"/>
    <x v="9"/>
    <n v="6623"/>
    <n v="2428"/>
    <n v="4195"/>
    <n v="90374"/>
    <n v="160"/>
    <n v="17"/>
    <n v="51"/>
    <n v="5608"/>
    <n v="335802.49652896059"/>
    <n v="2787"/>
    <n v="7012"/>
    <n v="1861"/>
    <n v="1085"/>
    <n v="6457"/>
    <n v="2843"/>
    <n v="1737"/>
    <n v="1786"/>
    <n v="1515"/>
    <n v="6623"/>
    <n v="183695298.33000001"/>
    <n v="418"/>
    <n v="714"/>
    <n v="4373"/>
    <n v="5"/>
    <m/>
    <m/>
    <n v="1643"/>
    <n v="970"/>
    <m/>
    <m/>
    <m/>
    <m/>
    <m/>
    <m/>
    <m/>
    <m/>
    <m/>
    <m/>
    <m/>
    <m/>
    <m/>
    <m/>
    <m/>
    <m/>
    <m/>
  </r>
  <r>
    <x v="0"/>
    <n v="8"/>
    <s v="CHIH"/>
    <x v="5"/>
    <s v="2019-2020"/>
    <x v="9"/>
    <n v="8863"/>
    <n v="3750"/>
    <n v="5113"/>
    <n v="53608"/>
    <n v="154"/>
    <n v="47"/>
    <n v="32"/>
    <n v="7998"/>
    <n v="204016.35908100085"/>
    <n v="4543"/>
    <n v="8573"/>
    <n v="2032"/>
    <n v="1568"/>
    <n v="7601"/>
    <n v="3667"/>
    <n v="1790"/>
    <n v="1917"/>
    <n v="1782"/>
    <n v="8863"/>
    <n v="174884579"/>
    <n v="559"/>
    <n v="983"/>
    <n v="7114"/>
    <n v="287"/>
    <m/>
    <m/>
    <n v="1495"/>
    <n v="1449"/>
    <n v="442"/>
    <m/>
    <m/>
    <m/>
    <m/>
    <m/>
    <m/>
    <m/>
    <m/>
    <m/>
    <m/>
    <m/>
    <m/>
    <m/>
    <m/>
    <m/>
    <m/>
  </r>
  <r>
    <x v="1"/>
    <n v="9"/>
    <s v="CDMX"/>
    <x v="6"/>
    <s v="2019-2020"/>
    <x v="9"/>
    <n v="43931"/>
    <n v="18983"/>
    <n v="24948"/>
    <n v="139064"/>
    <n v="584"/>
    <n v="136"/>
    <n v="135"/>
    <n v="36136"/>
    <n v="385103.78166493616"/>
    <n v="24489"/>
    <n v="44161"/>
    <n v="9386"/>
    <n v="11002"/>
    <n v="36721"/>
    <n v="19341"/>
    <n v="7859"/>
    <n v="7909"/>
    <n v="5203"/>
    <n v="43931"/>
    <n v="701763917"/>
    <n v="2154"/>
    <n v="3705"/>
    <n v="10338"/>
    <n v="706"/>
    <m/>
    <m/>
    <n v="2918"/>
    <n v="2400"/>
    <m/>
    <m/>
    <m/>
    <m/>
    <m/>
    <m/>
    <m/>
    <m/>
    <m/>
    <m/>
    <m/>
    <m/>
    <m/>
    <m/>
    <m/>
    <m/>
    <m/>
  </r>
  <r>
    <x v="0"/>
    <n v="5"/>
    <s v="COAH"/>
    <x v="7"/>
    <s v="2019-2020"/>
    <x v="9"/>
    <n v="10427"/>
    <n v="3726"/>
    <n v="6701"/>
    <n v="47544"/>
    <n v="134"/>
    <n v="45"/>
    <n v="37"/>
    <n v="9107"/>
    <n v="162883.98811697579"/>
    <n v="4645"/>
    <n v="10398"/>
    <n v="2553"/>
    <n v="1019"/>
    <n v="9757"/>
    <n v="3694"/>
    <n v="2399"/>
    <n v="2500"/>
    <n v="2496"/>
    <n v="10427"/>
    <n v="154967201.58000001"/>
    <n v="427"/>
    <n v="1141"/>
    <n v="3782"/>
    <n v="97"/>
    <m/>
    <m/>
    <n v="703"/>
    <n v="468"/>
    <m/>
    <m/>
    <m/>
    <m/>
    <m/>
    <m/>
    <m/>
    <m/>
    <m/>
    <m/>
    <m/>
    <m/>
    <m/>
    <m/>
    <m/>
    <m/>
    <m/>
  </r>
  <r>
    <x v="0"/>
    <n v="6"/>
    <s v="COL"/>
    <x v="8"/>
    <s v="2019-2020"/>
    <x v="9"/>
    <n v="1934"/>
    <n v="773"/>
    <n v="1161"/>
    <n v="11054"/>
    <n v="47"/>
    <n v="6"/>
    <n v="11"/>
    <n v="1270"/>
    <n v="38915.402748821303"/>
    <n v="864"/>
    <n v="1891"/>
    <n v="431"/>
    <n v="414"/>
    <n v="1679"/>
    <n v="861"/>
    <n v="349"/>
    <n v="343"/>
    <n v="332"/>
    <n v="1934"/>
    <n v="43224096.950000003"/>
    <n v="111"/>
    <n v="320"/>
    <n v="1068"/>
    <n v="51"/>
    <m/>
    <m/>
    <n v="512"/>
    <n v="341"/>
    <m/>
    <m/>
    <m/>
    <m/>
    <m/>
    <m/>
    <m/>
    <m/>
    <m/>
    <m/>
    <m/>
    <m/>
    <m/>
    <m/>
    <m/>
    <m/>
    <m/>
  </r>
  <r>
    <x v="0"/>
    <n v="10"/>
    <s v="DGO"/>
    <x v="9"/>
    <s v="2019-2020"/>
    <x v="9"/>
    <n v="1888"/>
    <n v="716"/>
    <n v="1172"/>
    <n v="27183"/>
    <n v="51"/>
    <n v="19"/>
    <n v="10"/>
    <n v="1537"/>
    <n v="101264.61839162641"/>
    <n v="796"/>
    <n v="1930"/>
    <n v="366"/>
    <n v="424"/>
    <n v="1643"/>
    <n v="853"/>
    <n v="325"/>
    <n v="360"/>
    <n v="213"/>
    <n v="1888"/>
    <n v="42371782.68"/>
    <n v="155"/>
    <n v="260"/>
    <n v="3862"/>
    <n v="95"/>
    <m/>
    <m/>
    <n v="182"/>
    <n v="139"/>
    <m/>
    <m/>
    <m/>
    <m/>
    <m/>
    <m/>
    <m/>
    <m/>
    <m/>
    <m/>
    <m/>
    <m/>
    <m/>
    <m/>
    <m/>
    <m/>
    <m/>
  </r>
  <r>
    <x v="0"/>
    <n v="11"/>
    <s v="GTO"/>
    <x v="10"/>
    <s v="2019-2020"/>
    <x v="9"/>
    <n v="18159"/>
    <n v="6879"/>
    <n v="11280"/>
    <n v="99785"/>
    <n v="308"/>
    <n v="90"/>
    <n v="82"/>
    <n v="15394"/>
    <n v="334756.67082686559"/>
    <n v="8281"/>
    <n v="18132"/>
    <n v="4803"/>
    <n v="2813"/>
    <n v="16748"/>
    <n v="7056"/>
    <n v="4547"/>
    <n v="4130"/>
    <n v="3923"/>
    <n v="18159"/>
    <n v="269451908.74000001"/>
    <n v="856"/>
    <n v="2187"/>
    <n v="2782"/>
    <n v="579"/>
    <m/>
    <m/>
    <n v="2447"/>
    <n v="2222"/>
    <n v="13361"/>
    <m/>
    <m/>
    <m/>
    <m/>
    <m/>
    <m/>
    <m/>
    <m/>
    <m/>
    <m/>
    <m/>
    <m/>
    <m/>
    <m/>
    <m/>
    <m/>
  </r>
  <r>
    <x v="0"/>
    <n v="12"/>
    <s v="GRO"/>
    <x v="11"/>
    <s v="2019-2020"/>
    <x v="9"/>
    <n v="6068"/>
    <n v="2417"/>
    <n v="3651"/>
    <n v="60714"/>
    <n v="134"/>
    <n v="26"/>
    <n v="41"/>
    <n v="5092"/>
    <n v="217567.81668356401"/>
    <n v="3098"/>
    <n v="6134"/>
    <n v="1485"/>
    <n v="1332"/>
    <n v="5539"/>
    <n v="2388"/>
    <n v="1372"/>
    <n v="1375"/>
    <n v="986"/>
    <n v="6068"/>
    <n v="149018016"/>
    <n v="302"/>
    <n v="719"/>
    <n v="14643"/>
    <n v="1315"/>
    <m/>
    <m/>
    <n v="1633"/>
    <n v="1392"/>
    <m/>
    <m/>
    <m/>
    <m/>
    <m/>
    <m/>
    <m/>
    <m/>
    <m/>
    <m/>
    <m/>
    <m/>
    <m/>
    <m/>
    <m/>
    <m/>
    <m/>
  </r>
  <r>
    <x v="0"/>
    <n v="13"/>
    <s v="HGO"/>
    <x v="12"/>
    <s v="2019-2020"/>
    <x v="9"/>
    <n v="3685"/>
    <n v="1520"/>
    <n v="2165"/>
    <n v="54211"/>
    <n v="72"/>
    <n v="37"/>
    <n v="17"/>
    <n v="3289"/>
    <n v="162292.16634456621"/>
    <n v="1784"/>
    <n v="3519"/>
    <n v="921"/>
    <n v="367"/>
    <n v="3232"/>
    <n v="1609"/>
    <n v="819"/>
    <n v="835"/>
    <n v="824"/>
    <n v="3685"/>
    <n v="66211880.299999997"/>
    <n v="200"/>
    <n v="428"/>
    <n v="190"/>
    <n v="482"/>
    <m/>
    <m/>
    <n v="603"/>
    <n v="391"/>
    <m/>
    <m/>
    <m/>
    <m/>
    <m/>
    <m/>
    <m/>
    <m/>
    <m/>
    <m/>
    <m/>
    <m/>
    <m/>
    <m/>
    <m/>
    <m/>
    <m/>
  </r>
  <r>
    <x v="0"/>
    <n v="14"/>
    <s v="JAL"/>
    <x v="13"/>
    <s v="2019-2020"/>
    <x v="9"/>
    <n v="13794"/>
    <n v="5317"/>
    <n v="8477"/>
    <n v="124772"/>
    <n v="273"/>
    <n v="38"/>
    <n v="64"/>
    <n v="11462"/>
    <n v="434646.30167465768"/>
    <n v="5534"/>
    <n v="14341"/>
    <n v="3353"/>
    <n v="2705"/>
    <n v="12822"/>
    <n v="5788"/>
    <n v="3037"/>
    <n v="3056"/>
    <n v="2655"/>
    <n v="13794"/>
    <n v="272811487.19999999"/>
    <n v="801"/>
    <n v="2084"/>
    <n v="12326"/>
    <n v="472"/>
    <m/>
    <m/>
    <n v="977"/>
    <n v="503"/>
    <n v="775"/>
    <m/>
    <m/>
    <m/>
    <m/>
    <m/>
    <m/>
    <m/>
    <m/>
    <m/>
    <m/>
    <m/>
    <m/>
    <m/>
    <m/>
    <m/>
    <m/>
  </r>
  <r>
    <x v="0"/>
    <n v="15"/>
    <s v="MEX"/>
    <x v="14"/>
    <s v="2019-2020"/>
    <x v="9"/>
    <n v="47114"/>
    <n v="18923"/>
    <n v="28191"/>
    <n v="280156"/>
    <n v="794"/>
    <n v="186"/>
    <n v="203"/>
    <n v="41549"/>
    <n v="917185.11715291278"/>
    <n v="19067"/>
    <n v="47926"/>
    <n v="11672"/>
    <n v="6714"/>
    <n v="42339"/>
    <n v="20110"/>
    <n v="10113"/>
    <n v="9450"/>
    <n v="7610"/>
    <n v="47114"/>
    <n v="783329252.73000002"/>
    <n v="2210"/>
    <n v="4445"/>
    <n v="7749"/>
    <n v="1012"/>
    <m/>
    <m/>
    <n v="66599"/>
    <n v="53013"/>
    <n v="1125"/>
    <m/>
    <m/>
    <m/>
    <m/>
    <m/>
    <m/>
    <m/>
    <m/>
    <m/>
    <m/>
    <m/>
    <m/>
    <m/>
    <m/>
    <m/>
    <m/>
  </r>
  <r>
    <x v="0"/>
    <n v="16"/>
    <s v="MICH"/>
    <x v="15"/>
    <s v="2019-2020"/>
    <x v="9"/>
    <n v="11091"/>
    <n v="4436"/>
    <n v="6655"/>
    <n v="64175"/>
    <n v="244"/>
    <n v="53"/>
    <n v="67"/>
    <n v="9518"/>
    <n v="254892.05728257031"/>
    <n v="5167"/>
    <n v="11087"/>
    <n v="2808"/>
    <n v="853"/>
    <n v="10005"/>
    <n v="4617"/>
    <n v="2470"/>
    <n v="2319"/>
    <n v="2085"/>
    <n v="11091"/>
    <n v="213282774.47999999"/>
    <n v="448"/>
    <n v="1204"/>
    <n v="2404"/>
    <n v="409"/>
    <m/>
    <m/>
    <n v="20137"/>
    <n v="15671"/>
    <m/>
    <m/>
    <m/>
    <m/>
    <m/>
    <m/>
    <m/>
    <m/>
    <m/>
    <m/>
    <m/>
    <m/>
    <m/>
    <m/>
    <m/>
    <m/>
    <m/>
  </r>
  <r>
    <x v="0"/>
    <n v="17"/>
    <s v="MOR"/>
    <x v="16"/>
    <s v="2019-2020"/>
    <x v="9"/>
    <n v="4522"/>
    <n v="1884"/>
    <n v="2638"/>
    <n v="30548"/>
    <n v="74"/>
    <n v="17"/>
    <n v="13"/>
    <n v="3912"/>
    <n v="101251.61672845934"/>
    <n v="2142"/>
    <n v="4640"/>
    <n v="1168"/>
    <n v="814"/>
    <n v="4002"/>
    <n v="2007"/>
    <n v="1085"/>
    <n v="1036"/>
    <n v="943"/>
    <n v="4522"/>
    <n v="72497492.840000004"/>
    <n v="237"/>
    <n v="532"/>
    <n v="943"/>
    <n v="333"/>
    <m/>
    <m/>
    <n v="1410"/>
    <n v="1116"/>
    <m/>
    <m/>
    <m/>
    <m/>
    <m/>
    <m/>
    <m/>
    <m/>
    <m/>
    <m/>
    <m/>
    <m/>
    <m/>
    <m/>
    <m/>
    <m/>
    <m/>
  </r>
  <r>
    <x v="0"/>
    <n v="18"/>
    <s v="NAY"/>
    <x v="17"/>
    <s v="2019-2020"/>
    <x v="9"/>
    <n v="2934"/>
    <n v="1353"/>
    <n v="1581"/>
    <n v="18423"/>
    <n v="59"/>
    <n v="10"/>
    <n v="14"/>
    <n v="2710"/>
    <n v="68701.514859885981"/>
    <n v="1551"/>
    <n v="2794"/>
    <n v="733"/>
    <n v="725"/>
    <n v="2483"/>
    <n v="1407"/>
    <n v="682"/>
    <n v="630"/>
    <n v="489"/>
    <n v="2934"/>
    <n v="54483944.060000002"/>
    <n v="145"/>
    <n v="361"/>
    <n v="1124"/>
    <n v="169"/>
    <m/>
    <m/>
    <n v="1132"/>
    <n v="248"/>
    <m/>
    <m/>
    <m/>
    <m/>
    <m/>
    <m/>
    <m/>
    <m/>
    <m/>
    <m/>
    <m/>
    <m/>
    <m/>
    <m/>
    <m/>
    <m/>
    <m/>
  </r>
  <r>
    <x v="0"/>
    <n v="19"/>
    <s v="NL"/>
    <x v="18"/>
    <s v="2019-2020"/>
    <x v="9"/>
    <n v="22276"/>
    <n v="8832"/>
    <n v="13444"/>
    <n v="81990"/>
    <n v="298"/>
    <n v="78"/>
    <n v="81"/>
    <n v="18601"/>
    <n v="268208.24172764656"/>
    <n v="9716"/>
    <n v="21326"/>
    <n v="5449"/>
    <n v="3224"/>
    <n v="19850"/>
    <n v="9082"/>
    <n v="5075"/>
    <n v="4378"/>
    <n v="4262"/>
    <n v="22276"/>
    <n v="249979097.05000001"/>
    <n v="1043"/>
    <n v="1549"/>
    <n v="29494"/>
    <n v="2353"/>
    <m/>
    <m/>
    <n v="101712"/>
    <n v="71574"/>
    <n v="860"/>
    <m/>
    <m/>
    <m/>
    <m/>
    <m/>
    <m/>
    <m/>
    <m/>
    <m/>
    <m/>
    <m/>
    <m/>
    <m/>
    <m/>
    <m/>
    <m/>
  </r>
  <r>
    <x v="1"/>
    <n v="20"/>
    <s v="OAX"/>
    <x v="19"/>
    <s v="2019-2020"/>
    <x v="9"/>
    <n v="6300"/>
    <n v="2674"/>
    <n v="3626"/>
    <n v="61455"/>
    <n v="121"/>
    <n v="24"/>
    <n v="31"/>
    <n v="5426"/>
    <n v="232464.04622382502"/>
    <n v="3224"/>
    <n v="6115"/>
    <n v="1582"/>
    <n v="1183"/>
    <n v="5553"/>
    <n v="2505"/>
    <n v="1392"/>
    <n v="1373"/>
    <n v="951"/>
    <n v="6300"/>
    <n v="200643047"/>
    <n v="394"/>
    <n v="637"/>
    <n v="2403"/>
    <n v="27"/>
    <m/>
    <m/>
    <n v="473"/>
    <n v="336"/>
    <m/>
    <m/>
    <m/>
    <m/>
    <m/>
    <m/>
    <m/>
    <m/>
    <m/>
    <m/>
    <m/>
    <m/>
    <m/>
    <m/>
    <m/>
    <m/>
    <m/>
  </r>
  <r>
    <x v="0"/>
    <n v="21"/>
    <s v="PUE"/>
    <x v="20"/>
    <s v="2019-2020"/>
    <x v="9"/>
    <n v="7203"/>
    <n v="2713"/>
    <n v="4490"/>
    <n v="113461"/>
    <n v="151"/>
    <n v="41"/>
    <n v="39"/>
    <n v="6179"/>
    <n v="361494.31621984352"/>
    <n v="3602"/>
    <n v="7310"/>
    <n v="1911"/>
    <n v="652"/>
    <n v="6695"/>
    <n v="2814"/>
    <n v="1740"/>
    <n v="1769"/>
    <n v="1585"/>
    <n v="7203"/>
    <n v="155689495.88"/>
    <n v="393"/>
    <n v="1005"/>
    <n v="2965"/>
    <n v="194"/>
    <m/>
    <m/>
    <n v="6068"/>
    <n v="4405"/>
    <m/>
    <m/>
    <m/>
    <m/>
    <m/>
    <m/>
    <m/>
    <m/>
    <m/>
    <m/>
    <m/>
    <m/>
    <m/>
    <m/>
    <m/>
    <m/>
    <m/>
  </r>
  <r>
    <x v="0"/>
    <n v="22"/>
    <s v="QRO"/>
    <x v="21"/>
    <s v="2019-2020"/>
    <x v="9"/>
    <n v="3388"/>
    <n v="1403"/>
    <n v="1985"/>
    <n v="33119"/>
    <n v="67"/>
    <n v="23"/>
    <n v="26"/>
    <n v="3077"/>
    <n v="113009.46007740314"/>
    <n v="2248"/>
    <n v="3473"/>
    <n v="919"/>
    <n v="754"/>
    <n v="3151"/>
    <n v="1359"/>
    <n v="854"/>
    <n v="745"/>
    <n v="721"/>
    <n v="3388"/>
    <n v="55396948.509999998"/>
    <n v="237"/>
    <n v="449"/>
    <n v="363"/>
    <n v="116"/>
    <m/>
    <m/>
    <n v="543"/>
    <n v="382"/>
    <m/>
    <m/>
    <m/>
    <m/>
    <m/>
    <m/>
    <m/>
    <m/>
    <m/>
    <m/>
    <m/>
    <m/>
    <m/>
    <m/>
    <m/>
    <m/>
    <m/>
  </r>
  <r>
    <x v="0"/>
    <n v="23"/>
    <s v="QROO"/>
    <x v="22"/>
    <s v="2019-2020"/>
    <x v="9"/>
    <n v="8115"/>
    <n v="3089"/>
    <n v="5026"/>
    <n v="24893"/>
    <n v="113"/>
    <n v="14"/>
    <n v="27"/>
    <n v="6862"/>
    <n v="86320.258386016038"/>
    <n v="3467"/>
    <n v="8590"/>
    <n v="2370"/>
    <n v="1178"/>
    <n v="7867"/>
    <n v="3453"/>
    <n v="2174"/>
    <n v="1786"/>
    <n v="1635"/>
    <n v="8115"/>
    <n v="103609822.95"/>
    <n v="391"/>
    <n v="771"/>
    <n v="1492"/>
    <n v="0"/>
    <m/>
    <m/>
    <n v="2272"/>
    <n v="1523"/>
    <m/>
    <m/>
    <m/>
    <m/>
    <m/>
    <m/>
    <m/>
    <m/>
    <m/>
    <m/>
    <m/>
    <m/>
    <m/>
    <m/>
    <m/>
    <m/>
    <m/>
  </r>
  <r>
    <x v="0"/>
    <n v="24"/>
    <s v="SLP"/>
    <x v="23"/>
    <s v="2019-2020"/>
    <x v="9"/>
    <n v="5119"/>
    <n v="1919"/>
    <n v="3200"/>
    <n v="47379"/>
    <n v="98"/>
    <n v="26"/>
    <n v="25"/>
    <n v="4235"/>
    <n v="157745.4141578234"/>
    <n v="2522"/>
    <n v="5259"/>
    <n v="1314"/>
    <n v="1016"/>
    <n v="4741"/>
    <n v="2244"/>
    <n v="1169"/>
    <n v="1163"/>
    <n v="1100"/>
    <n v="5119"/>
    <n v="90816960.060000002"/>
    <n v="240"/>
    <n v="427"/>
    <n v="5064"/>
    <n v="224"/>
    <m/>
    <m/>
    <n v="1248"/>
    <n v="942"/>
    <m/>
    <m/>
    <m/>
    <m/>
    <m/>
    <m/>
    <m/>
    <m/>
    <m/>
    <m/>
    <m/>
    <m/>
    <m/>
    <m/>
    <m/>
    <m/>
    <m/>
  </r>
  <r>
    <x v="0"/>
    <n v="25"/>
    <s v="SIN"/>
    <x v="24"/>
    <s v="2019-2020"/>
    <x v="9"/>
    <n v="8646"/>
    <n v="3156"/>
    <n v="5490"/>
    <n v="46187"/>
    <n v="235"/>
    <n v="73"/>
    <n v="40"/>
    <n v="7379"/>
    <n v="161608.217462459"/>
    <n v="3558"/>
    <n v="8604"/>
    <n v="1815"/>
    <n v="1759"/>
    <n v="7691"/>
    <n v="2997"/>
    <n v="1672"/>
    <n v="1964"/>
    <n v="1726"/>
    <n v="8646"/>
    <n v="254225446.78999999"/>
    <n v="526"/>
    <n v="1117"/>
    <n v="139"/>
    <n v="228"/>
    <m/>
    <m/>
    <n v="2"/>
    <n v="2"/>
    <m/>
    <m/>
    <m/>
    <m/>
    <m/>
    <m/>
    <m/>
    <m/>
    <m/>
    <m/>
    <m/>
    <m/>
    <m/>
    <m/>
    <m/>
    <m/>
    <m/>
  </r>
  <r>
    <x v="0"/>
    <n v="26"/>
    <s v="SON"/>
    <x v="25"/>
    <s v="2019-2020"/>
    <x v="9"/>
    <n v="14848"/>
    <n v="6159"/>
    <n v="8689"/>
    <n v="44092"/>
    <n v="265"/>
    <n v="49"/>
    <n v="44"/>
    <n v="13444"/>
    <n v="161431.28489995617"/>
    <n v="6232"/>
    <n v="14826"/>
    <n v="4071"/>
    <n v="2683"/>
    <n v="13576"/>
    <n v="7175"/>
    <n v="3583"/>
    <n v="2606"/>
    <n v="1447"/>
    <n v="14848"/>
    <n v="233759400.16"/>
    <n v="654"/>
    <n v="857"/>
    <n v="5632"/>
    <n v="595"/>
    <m/>
    <m/>
    <n v="549"/>
    <n v="404"/>
    <m/>
    <m/>
    <m/>
    <m/>
    <m/>
    <m/>
    <m/>
    <m/>
    <m/>
    <m/>
    <m/>
    <m/>
    <m/>
    <m/>
    <m/>
    <m/>
    <m/>
  </r>
  <r>
    <x v="0"/>
    <n v="27"/>
    <s v="TAB"/>
    <x v="26"/>
    <s v="2019-2020"/>
    <x v="9"/>
    <n v="5479"/>
    <n v="2129"/>
    <n v="3350"/>
    <n v="41004"/>
    <n v="89"/>
    <n v="27"/>
    <n v="24"/>
    <n v="4935"/>
    <n v="132930.79963753582"/>
    <n v="2129"/>
    <n v="5608"/>
    <n v="1555"/>
    <n v="537"/>
    <n v="5091"/>
    <n v="2109"/>
    <n v="1416"/>
    <n v="1398"/>
    <n v="1342"/>
    <n v="5479"/>
    <n v="116258748.91"/>
    <n v="291"/>
    <n v="484"/>
    <n v="251"/>
    <n v="33"/>
    <m/>
    <m/>
    <n v="512"/>
    <n v="344"/>
    <m/>
    <m/>
    <m/>
    <m/>
    <m/>
    <m/>
    <m/>
    <m/>
    <m/>
    <m/>
    <m/>
    <m/>
    <m/>
    <m/>
    <m/>
    <m/>
    <m/>
  </r>
  <r>
    <x v="0"/>
    <n v="28"/>
    <s v="TAMPS"/>
    <x v="27"/>
    <s v="2019-2020"/>
    <x v="9"/>
    <n v="7871"/>
    <n v="3065"/>
    <n v="4806"/>
    <n v="49884"/>
    <n v="164"/>
    <n v="29"/>
    <n v="42"/>
    <n v="7131"/>
    <n v="187952.82391209184"/>
    <n v="3411"/>
    <n v="8533"/>
    <n v="2290"/>
    <n v="1414"/>
    <n v="7586"/>
    <n v="3648"/>
    <n v="2099"/>
    <n v="1856"/>
    <n v="1733"/>
    <n v="7871"/>
    <n v="180294519.78999999"/>
    <n v="391"/>
    <n v="1077"/>
    <n v="5747"/>
    <n v="182"/>
    <m/>
    <m/>
    <n v="508"/>
    <n v="432"/>
    <n v="63"/>
    <m/>
    <m/>
    <m/>
    <m/>
    <m/>
    <m/>
    <m/>
    <m/>
    <m/>
    <m/>
    <m/>
    <m/>
    <m/>
    <m/>
    <m/>
    <m/>
  </r>
  <r>
    <x v="0"/>
    <n v="29"/>
    <s v="TLAX"/>
    <x v="28"/>
    <s v="2019-2020"/>
    <x v="9"/>
    <n v="3175"/>
    <n v="1171"/>
    <n v="2004"/>
    <n v="23385"/>
    <n v="49"/>
    <n v="18"/>
    <n v="15"/>
    <n v="2899"/>
    <n v="74496.422872691313"/>
    <n v="1369"/>
    <n v="3232"/>
    <n v="821"/>
    <n v="249"/>
    <n v="2983"/>
    <n v="1333"/>
    <n v="725"/>
    <n v="594"/>
    <n v="581"/>
    <n v="3175"/>
    <n v="44064909.369999997"/>
    <n v="185"/>
    <n v="455"/>
    <n v="4354"/>
    <n v="169"/>
    <m/>
    <m/>
    <n v="822"/>
    <n v="262"/>
    <m/>
    <m/>
    <m/>
    <m/>
    <m/>
    <m/>
    <m/>
    <m/>
    <m/>
    <m/>
    <m/>
    <m/>
    <m/>
    <m/>
    <m/>
    <m/>
    <m/>
  </r>
  <r>
    <x v="0"/>
    <n v="30"/>
    <s v="VER"/>
    <x v="29"/>
    <s v="2019-2020"/>
    <x v="9"/>
    <n v="9166"/>
    <n v="3739"/>
    <n v="5427"/>
    <n v="125261"/>
    <n v="172"/>
    <n v="44"/>
    <n v="74"/>
    <n v="8288"/>
    <n v="428789.89463466225"/>
    <n v="4695"/>
    <n v="8858"/>
    <n v="2596"/>
    <n v="838"/>
    <n v="8291"/>
    <n v="3448"/>
    <n v="2404"/>
    <n v="2472"/>
    <n v="2184"/>
    <n v="9166"/>
    <n v="241417343.38"/>
    <n v="534"/>
    <n v="1543"/>
    <n v="4933"/>
    <n v="194"/>
    <m/>
    <m/>
    <n v="4529"/>
    <n v="2353"/>
    <n v="599"/>
    <m/>
    <m/>
    <m/>
    <m/>
    <m/>
    <m/>
    <m/>
    <m/>
    <m/>
    <m/>
    <m/>
    <m/>
    <m/>
    <m/>
    <m/>
    <m/>
  </r>
  <r>
    <x v="0"/>
    <n v="31"/>
    <s v="YUC"/>
    <x v="30"/>
    <s v="2019-2020"/>
    <x v="9"/>
    <n v="5231"/>
    <n v="1994"/>
    <n v="3237"/>
    <n v="32464"/>
    <n v="69"/>
    <n v="14"/>
    <n v="18"/>
    <n v="4000"/>
    <n v="110127.91103826847"/>
    <n v="2389"/>
    <n v="5303"/>
    <n v="1286"/>
    <n v="1065"/>
    <n v="4745"/>
    <n v="2046"/>
    <n v="1156"/>
    <n v="1030"/>
    <n v="870"/>
    <n v="5231"/>
    <n v="112512632.04000001"/>
    <n v="269"/>
    <n v="484"/>
    <n v="2290"/>
    <n v="496"/>
    <m/>
    <m/>
    <n v="1504"/>
    <n v="1100"/>
    <m/>
    <m/>
    <m/>
    <m/>
    <m/>
    <m/>
    <m/>
    <m/>
    <m/>
    <m/>
    <m/>
    <m/>
    <m/>
    <m/>
    <m/>
    <m/>
    <m/>
  </r>
  <r>
    <x v="0"/>
    <n v="32"/>
    <s v="ZAC"/>
    <x v="31"/>
    <s v="2019-2020"/>
    <x v="9"/>
    <n v="1468"/>
    <n v="610"/>
    <n v="858"/>
    <n v="24839"/>
    <n v="60"/>
    <n v="21"/>
    <n v="7"/>
    <n v="1180"/>
    <n v="89216.325332009379"/>
    <n v="697"/>
    <n v="1538"/>
    <n v="355"/>
    <n v="506"/>
    <n v="1302"/>
    <n v="736"/>
    <n v="298"/>
    <n v="262"/>
    <n v="261"/>
    <n v="1468"/>
    <n v="43143301.719999999"/>
    <n v="85"/>
    <n v="197"/>
    <n v="1895"/>
    <n v="281"/>
    <m/>
    <m/>
    <n v="693"/>
    <n v="578"/>
    <m/>
    <m/>
    <m/>
    <m/>
    <m/>
    <m/>
    <m/>
    <m/>
    <m/>
    <m/>
    <m/>
    <m/>
    <m/>
    <m/>
    <m/>
    <m/>
    <m/>
  </r>
  <r>
    <x v="2"/>
    <n v="33"/>
    <s v="OTRO"/>
    <x v="32"/>
    <s v="2019-2020"/>
    <x v="9"/>
    <m/>
    <m/>
    <m/>
    <m/>
    <m/>
    <m/>
    <m/>
    <m/>
    <m/>
    <m/>
    <m/>
    <m/>
    <m/>
    <m/>
    <m/>
    <m/>
    <m/>
    <m/>
    <m/>
    <m/>
    <m/>
    <m/>
    <m/>
    <m/>
    <m/>
    <m/>
    <n v="1235"/>
    <n v="1166"/>
    <m/>
    <m/>
    <m/>
    <m/>
    <m/>
    <m/>
    <m/>
    <m/>
    <m/>
    <m/>
    <m/>
    <m/>
    <m/>
    <m/>
    <m/>
    <m/>
    <m/>
  </r>
  <r>
    <x v="1"/>
    <n v="0"/>
    <s v="ON"/>
    <x v="33"/>
    <s v="2019-2020"/>
    <x v="9"/>
    <m/>
    <m/>
    <m/>
    <m/>
    <m/>
    <m/>
    <m/>
    <m/>
    <m/>
    <m/>
    <m/>
    <m/>
    <m/>
    <m/>
    <m/>
    <m/>
    <m/>
    <m/>
    <m/>
    <m/>
    <m/>
    <m/>
    <n v="425"/>
    <m/>
    <m/>
    <m/>
    <n v="3719"/>
    <n v="3653"/>
    <m/>
    <n v="384815.8"/>
    <n v="1511221.007"/>
    <n v="1511221.007"/>
    <n v="1512433.503"/>
    <n v="1463719.9280000001"/>
    <n v="1463719.9280000001"/>
    <n v="1510986.557"/>
    <n v="1512199.0530000001"/>
    <n v="234.45"/>
    <n v="234.45"/>
    <n v="47501.078999999998"/>
    <n v="1511221.007"/>
    <n v="47548.292999999998"/>
    <n v="48713.574999999997"/>
    <n v="1511221.007"/>
    <n v="1512433.50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6">
  <r>
    <x v="0"/>
    <n v="1"/>
    <s v="AGS"/>
    <x v="0"/>
    <s v="2022-2023"/>
    <x v="0"/>
    <n v="4434"/>
    <n v="1697"/>
    <n v="2737"/>
    <n v="23894"/>
    <n v="83"/>
    <n v="19"/>
    <n v="22"/>
    <n v="4097"/>
    <n v="80762"/>
    <n v="2991"/>
    <n v="4237"/>
    <n v="1017"/>
    <n v="646"/>
    <n v="3919"/>
    <n v="1624"/>
    <n v="908"/>
    <n v="1037"/>
    <n v="993"/>
    <n v="4434"/>
    <n v="82143029.864428163"/>
    <n v="268"/>
    <n v="429"/>
    <n v="2800"/>
    <n v="181"/>
    <n v="45"/>
    <n v="74"/>
    <n v="3415"/>
    <n v="2391"/>
    <m/>
    <m/>
    <m/>
    <m/>
    <m/>
    <m/>
    <m/>
    <m/>
    <m/>
    <m/>
    <m/>
    <m/>
    <m/>
    <m/>
    <m/>
    <m/>
    <m/>
  </r>
  <r>
    <x v="0"/>
    <n v="2"/>
    <s v="BC"/>
    <x v="1"/>
    <s v="2022-2023"/>
    <x v="0"/>
    <n v="9226"/>
    <n v="3945"/>
    <n v="5281"/>
    <n v="59849"/>
    <n v="125"/>
    <n v="32"/>
    <n v="24"/>
    <n v="8222"/>
    <n v="187217"/>
    <n v="4385"/>
    <n v="8841"/>
    <n v="1922"/>
    <n v="2154"/>
    <n v="8272"/>
    <n v="3476"/>
    <n v="1802"/>
    <n v="1597"/>
    <n v="1497"/>
    <n v="9226"/>
    <n v="164707369.69522417"/>
    <n v="399"/>
    <n v="749"/>
    <n v="4491"/>
    <n v="59"/>
    <n v="78"/>
    <n v="161"/>
    <n v="1833"/>
    <n v="1678"/>
    <n v="198"/>
    <m/>
    <m/>
    <m/>
    <m/>
    <m/>
    <m/>
    <m/>
    <m/>
    <m/>
    <m/>
    <m/>
    <m/>
    <m/>
    <m/>
    <m/>
    <m/>
  </r>
  <r>
    <x v="0"/>
    <n v="3"/>
    <s v="BCS"/>
    <x v="2"/>
    <s v="2022-2023"/>
    <x v="0"/>
    <n v="1676"/>
    <n v="715"/>
    <n v="961"/>
    <n v="12983"/>
    <n v="33"/>
    <n v="8"/>
    <n v="3"/>
    <n v="1427"/>
    <n v="40787"/>
    <n v="1058"/>
    <n v="1531"/>
    <n v="346"/>
    <n v="182"/>
    <n v="1335"/>
    <n v="602"/>
    <n v="313"/>
    <n v="368"/>
    <n v="361"/>
    <n v="1676"/>
    <n v="40780472.799643666"/>
    <n v="77"/>
    <n v="217"/>
    <n v="640"/>
    <n v="25"/>
    <n v="0"/>
    <n v="1"/>
    <n v="0"/>
    <n v="0"/>
    <m/>
    <m/>
    <m/>
    <m/>
    <m/>
    <m/>
    <m/>
    <m/>
    <m/>
    <m/>
    <m/>
    <m/>
    <m/>
    <m/>
    <m/>
    <m/>
    <m/>
  </r>
  <r>
    <x v="0"/>
    <n v="4"/>
    <s v="CAMP"/>
    <x v="3"/>
    <s v="2022-2023"/>
    <x v="0"/>
    <n v="2131"/>
    <n v="861"/>
    <n v="1270"/>
    <n v="13930"/>
    <n v="39"/>
    <n v="9"/>
    <n v="13"/>
    <n v="1774"/>
    <n v="51602"/>
    <n v="975"/>
    <n v="1937"/>
    <n v="418"/>
    <n v="257"/>
    <n v="1656"/>
    <n v="758"/>
    <n v="370"/>
    <n v="423"/>
    <n v="368"/>
    <n v="2131"/>
    <n v="50105240.945243418"/>
    <n v="119"/>
    <n v="331"/>
    <n v="1533"/>
    <n v="59"/>
    <n v="30"/>
    <n v="31"/>
    <n v="300"/>
    <n v="259"/>
    <m/>
    <m/>
    <m/>
    <m/>
    <m/>
    <m/>
    <m/>
    <m/>
    <m/>
    <m/>
    <m/>
    <m/>
    <m/>
    <m/>
    <m/>
    <m/>
    <m/>
  </r>
  <r>
    <x v="0"/>
    <n v="7"/>
    <s v="CHIAP"/>
    <x v="4"/>
    <s v="2022-2023"/>
    <x v="0"/>
    <n v="8653"/>
    <n v="3390"/>
    <n v="5263"/>
    <n v="94001"/>
    <n v="160"/>
    <n v="17"/>
    <n v="51"/>
    <n v="6118"/>
    <n v="340519"/>
    <n v="4174"/>
    <n v="8499"/>
    <n v="1714"/>
    <n v="1017"/>
    <n v="7471"/>
    <n v="2428"/>
    <n v="1553"/>
    <n v="1584"/>
    <n v="1273"/>
    <n v="8653"/>
    <n v="198707456.26515517"/>
    <n v="427"/>
    <n v="714"/>
    <n v="3479"/>
    <n v="4"/>
    <n v="56"/>
    <n v="72"/>
    <n v="961"/>
    <n v="758"/>
    <m/>
    <m/>
    <m/>
    <m/>
    <m/>
    <m/>
    <m/>
    <m/>
    <m/>
    <m/>
    <m/>
    <m/>
    <m/>
    <m/>
    <m/>
    <m/>
    <m/>
  </r>
  <r>
    <x v="0"/>
    <n v="8"/>
    <s v="CHIH"/>
    <x v="5"/>
    <s v="2022-2023"/>
    <x v="0"/>
    <n v="9756"/>
    <n v="4646"/>
    <n v="5110"/>
    <n v="63627"/>
    <n v="155"/>
    <n v="47"/>
    <n v="32"/>
    <n v="8737"/>
    <n v="202743"/>
    <n v="5090"/>
    <n v="8336"/>
    <n v="1809"/>
    <n v="1072"/>
    <n v="7068"/>
    <n v="3750"/>
    <n v="1632"/>
    <n v="1627"/>
    <n v="1510"/>
    <n v="9756"/>
    <n v="193206744.52680892"/>
    <n v="576"/>
    <n v="983"/>
    <n v="4037"/>
    <n v="613"/>
    <n v="93"/>
    <n v="94"/>
    <n v="39"/>
    <n v="39"/>
    <n v="349"/>
    <m/>
    <m/>
    <m/>
    <m/>
    <m/>
    <m/>
    <m/>
    <m/>
    <m/>
    <m/>
    <m/>
    <m/>
    <m/>
    <m/>
    <m/>
    <m/>
  </r>
  <r>
    <x v="1"/>
    <n v="9"/>
    <s v="CDMX"/>
    <x v="6"/>
    <s v="2022-2023"/>
    <x v="0"/>
    <n v="44777"/>
    <n v="17484"/>
    <n v="27293"/>
    <n v="141773"/>
    <n v="568"/>
    <n v="130"/>
    <n v="140"/>
    <n v="38896"/>
    <n v="362204"/>
    <n v="21598"/>
    <n v="46483"/>
    <n v="11725"/>
    <n v="10231"/>
    <n v="43891"/>
    <n v="18983"/>
    <n v="10249"/>
    <n v="8846"/>
    <n v="4677"/>
    <n v="44777"/>
    <n v="827522454.30157125"/>
    <n v="2196"/>
    <n v="3705"/>
    <n v="4682"/>
    <n v="409"/>
    <n v="210"/>
    <n v="263"/>
    <n v="2581"/>
    <n v="1996"/>
    <m/>
    <m/>
    <m/>
    <m/>
    <m/>
    <m/>
    <m/>
    <m/>
    <m/>
    <m/>
    <m/>
    <m/>
    <m/>
    <m/>
    <m/>
    <m/>
    <m/>
  </r>
  <r>
    <x v="0"/>
    <n v="5"/>
    <s v="COAH"/>
    <x v="7"/>
    <s v="2022-2023"/>
    <x v="0"/>
    <n v="10128"/>
    <n v="3960"/>
    <n v="6168"/>
    <n v="50818"/>
    <n v="134"/>
    <n v="46"/>
    <n v="35"/>
    <n v="9596"/>
    <n v="167242"/>
    <n v="4824"/>
    <n v="10123"/>
    <n v="2847"/>
    <n v="772"/>
    <n v="9417"/>
    <n v="3726"/>
    <n v="2726"/>
    <n v="2844"/>
    <n v="2842"/>
    <n v="10128"/>
    <n v="179270967.99443966"/>
    <n v="419"/>
    <n v="1141"/>
    <n v="2960"/>
    <n v="65"/>
    <n v="25"/>
    <n v="226"/>
    <n v="52"/>
    <n v="52"/>
    <m/>
    <m/>
    <m/>
    <m/>
    <m/>
    <m/>
    <m/>
    <m/>
    <m/>
    <m/>
    <m/>
    <m/>
    <m/>
    <m/>
    <m/>
    <m/>
    <m/>
  </r>
  <r>
    <x v="0"/>
    <n v="6"/>
    <s v="COL"/>
    <x v="8"/>
    <s v="2022-2023"/>
    <x v="0"/>
    <n v="1800"/>
    <n v="735"/>
    <n v="1065"/>
    <n v="10776"/>
    <n v="47"/>
    <n v="6"/>
    <n v="11"/>
    <n v="1153"/>
    <n v="40089"/>
    <n v="857"/>
    <n v="1760"/>
    <n v="422"/>
    <n v="206"/>
    <n v="1538"/>
    <n v="773"/>
    <n v="332"/>
    <n v="357"/>
    <n v="325"/>
    <n v="1800"/>
    <n v="50359152.541857749"/>
    <n v="110"/>
    <n v="320"/>
    <n v="968"/>
    <n v="114"/>
    <n v="1"/>
    <n v="2"/>
    <n v="114"/>
    <n v="114"/>
    <m/>
    <m/>
    <m/>
    <m/>
    <m/>
    <m/>
    <m/>
    <m/>
    <m/>
    <m/>
    <m/>
    <m/>
    <m/>
    <m/>
    <m/>
    <m/>
    <m/>
  </r>
  <r>
    <x v="0"/>
    <n v="10"/>
    <s v="DGO"/>
    <x v="9"/>
    <s v="2022-2023"/>
    <x v="0"/>
    <n v="1782"/>
    <n v="809"/>
    <n v="973"/>
    <n v="28856"/>
    <n v="51"/>
    <n v="19"/>
    <n v="10"/>
    <n v="1523"/>
    <n v="103401"/>
    <n v="884"/>
    <n v="1607"/>
    <n v="265"/>
    <n v="278"/>
    <n v="1278"/>
    <n v="716"/>
    <n v="243"/>
    <n v="267"/>
    <n v="136"/>
    <n v="1782"/>
    <n v="50728550.520300001"/>
    <n v="139"/>
    <n v="260"/>
    <n v="1912"/>
    <n v="55"/>
    <n v="16"/>
    <n v="16"/>
    <n v="166"/>
    <n v="48"/>
    <m/>
    <m/>
    <m/>
    <m/>
    <m/>
    <m/>
    <m/>
    <m/>
    <m/>
    <m/>
    <m/>
    <m/>
    <m/>
    <m/>
    <m/>
    <m/>
    <m/>
  </r>
  <r>
    <x v="0"/>
    <n v="11"/>
    <s v="GTO"/>
    <x v="10"/>
    <s v="2022-2023"/>
    <x v="0"/>
    <n v="17308"/>
    <n v="6843"/>
    <n v="10465"/>
    <n v="100883"/>
    <n v="309"/>
    <n v="90"/>
    <n v="82"/>
    <n v="15952"/>
    <n v="338825"/>
    <n v="8416"/>
    <n v="16462"/>
    <n v="4258"/>
    <n v="2758"/>
    <n v="15262"/>
    <n v="6879"/>
    <n v="4028"/>
    <n v="4068"/>
    <n v="3841"/>
    <n v="17308"/>
    <n v="284031616.38553494"/>
    <n v="764"/>
    <n v="2187"/>
    <n v="2223"/>
    <n v="354"/>
    <n v="811"/>
    <n v="982"/>
    <n v="345"/>
    <n v="278"/>
    <n v="8068"/>
    <m/>
    <m/>
    <m/>
    <m/>
    <m/>
    <m/>
    <m/>
    <m/>
    <m/>
    <m/>
    <m/>
    <m/>
    <m/>
    <m/>
    <m/>
    <m/>
  </r>
  <r>
    <x v="0"/>
    <n v="12"/>
    <s v="GRO"/>
    <x v="11"/>
    <s v="2022-2023"/>
    <x v="0"/>
    <n v="5993"/>
    <n v="2470"/>
    <n v="3523"/>
    <n v="59820"/>
    <n v="134"/>
    <n v="26"/>
    <n v="41"/>
    <n v="5209"/>
    <n v="208511"/>
    <n v="2884"/>
    <n v="5818"/>
    <n v="1166"/>
    <n v="939"/>
    <n v="4825"/>
    <n v="2417"/>
    <n v="1079"/>
    <n v="1270"/>
    <n v="1058"/>
    <n v="5993"/>
    <n v="167214807.72838384"/>
    <n v="292"/>
    <n v="719"/>
    <n v="15428"/>
    <n v="639"/>
    <n v="5"/>
    <n v="24"/>
    <n v="168"/>
    <n v="168"/>
    <m/>
    <m/>
    <m/>
    <m/>
    <m/>
    <m/>
    <m/>
    <m/>
    <m/>
    <m/>
    <m/>
    <m/>
    <m/>
    <m/>
    <m/>
    <m/>
    <m/>
  </r>
  <r>
    <x v="0"/>
    <n v="13"/>
    <s v="HGO"/>
    <x v="12"/>
    <s v="2022-2023"/>
    <x v="0"/>
    <n v="3885"/>
    <n v="1582"/>
    <n v="2303"/>
    <n v="55325"/>
    <n v="72"/>
    <n v="37"/>
    <n v="17"/>
    <n v="3504"/>
    <n v="166161"/>
    <n v="2100"/>
    <n v="3684"/>
    <n v="938"/>
    <n v="557"/>
    <n v="3439"/>
    <n v="1520"/>
    <n v="881"/>
    <n v="868"/>
    <n v="868"/>
    <n v="3885"/>
    <n v="78836376.058385909"/>
    <n v="192"/>
    <n v="428"/>
    <n v="1841"/>
    <n v="292"/>
    <n v="31"/>
    <n v="33"/>
    <n v="298"/>
    <n v="195"/>
    <m/>
    <m/>
    <m/>
    <m/>
    <m/>
    <m/>
    <m/>
    <m/>
    <m/>
    <m/>
    <m/>
    <m/>
    <m/>
    <m/>
    <m/>
    <m/>
    <m/>
  </r>
  <r>
    <x v="0"/>
    <n v="14"/>
    <s v="JAL"/>
    <x v="13"/>
    <s v="2022-2023"/>
    <x v="0"/>
    <n v="13082"/>
    <n v="5272"/>
    <n v="7810"/>
    <n v="135174"/>
    <n v="273"/>
    <n v="39"/>
    <n v="64"/>
    <n v="11215"/>
    <n v="445616"/>
    <n v="5456"/>
    <n v="13107"/>
    <n v="3101"/>
    <n v="2409"/>
    <n v="11897"/>
    <n v="5317"/>
    <n v="2779"/>
    <n v="2750"/>
    <n v="2301"/>
    <n v="13082"/>
    <n v="305794686.56970632"/>
    <n v="740"/>
    <n v="2084"/>
    <n v="4283"/>
    <n v="466"/>
    <n v="903"/>
    <n v="1037"/>
    <n v="827"/>
    <n v="337"/>
    <n v="620"/>
    <m/>
    <m/>
    <m/>
    <m/>
    <m/>
    <m/>
    <m/>
    <m/>
    <m/>
    <m/>
    <m/>
    <m/>
    <m/>
    <m/>
    <m/>
    <m/>
  </r>
  <r>
    <x v="0"/>
    <n v="15"/>
    <s v="MEX"/>
    <x v="14"/>
    <s v="2022-2023"/>
    <x v="0"/>
    <n v="50543"/>
    <n v="19574"/>
    <n v="30969"/>
    <n v="285765"/>
    <n v="790"/>
    <n v="188"/>
    <n v="211"/>
    <n v="45965"/>
    <n v="884035"/>
    <n v="19607"/>
    <n v="48029"/>
    <n v="12467"/>
    <n v="4038"/>
    <n v="45825"/>
    <n v="18923"/>
    <n v="11113"/>
    <n v="10186"/>
    <n v="6474"/>
    <n v="50543"/>
    <n v="899576487.46477783"/>
    <n v="2089"/>
    <n v="4445"/>
    <n v="6829"/>
    <n v="964"/>
    <n v="952"/>
    <n v="1164"/>
    <n v="46072"/>
    <n v="38684"/>
    <n v="1142"/>
    <m/>
    <m/>
    <m/>
    <m/>
    <m/>
    <m/>
    <m/>
    <m/>
    <m/>
    <m/>
    <m/>
    <m/>
    <m/>
    <m/>
    <m/>
    <m/>
  </r>
  <r>
    <x v="0"/>
    <n v="16"/>
    <s v="MICH"/>
    <x v="15"/>
    <s v="2022-2023"/>
    <x v="0"/>
    <n v="11459"/>
    <n v="4882"/>
    <n v="6577"/>
    <n v="66089"/>
    <n v="245"/>
    <n v="53"/>
    <n v="67"/>
    <n v="10116"/>
    <n v="260706"/>
    <n v="5868"/>
    <n v="10545"/>
    <n v="2732"/>
    <n v="857"/>
    <n v="9759"/>
    <n v="4436"/>
    <n v="2432"/>
    <n v="2325"/>
    <n v="2054"/>
    <n v="11459"/>
    <n v="232419055.05010808"/>
    <n v="444"/>
    <n v="1204"/>
    <n v="882"/>
    <n v="657"/>
    <n v="146"/>
    <n v="164"/>
    <n v="10274"/>
    <n v="7992"/>
    <m/>
    <m/>
    <m/>
    <m/>
    <m/>
    <m/>
    <m/>
    <m/>
    <m/>
    <m/>
    <m/>
    <m/>
    <m/>
    <m/>
    <m/>
    <m/>
    <m/>
  </r>
  <r>
    <x v="0"/>
    <n v="17"/>
    <s v="MOR"/>
    <x v="16"/>
    <s v="2022-2023"/>
    <x v="0"/>
    <n v="4790"/>
    <n v="2057"/>
    <n v="2733"/>
    <n v="30324"/>
    <n v="74"/>
    <n v="17"/>
    <n v="13"/>
    <n v="4276"/>
    <n v="102489"/>
    <n v="2437"/>
    <n v="4277"/>
    <n v="899"/>
    <n v="464"/>
    <n v="3594"/>
    <n v="1884"/>
    <n v="805"/>
    <n v="854"/>
    <n v="735"/>
    <n v="4790"/>
    <n v="87359886.976342246"/>
    <n v="238"/>
    <n v="532"/>
    <n v="7416"/>
    <n v="45"/>
    <n v="87"/>
    <n v="89"/>
    <n v="725"/>
    <n v="725"/>
    <m/>
    <m/>
    <m/>
    <m/>
    <m/>
    <m/>
    <m/>
    <m/>
    <m/>
    <m/>
    <m/>
    <m/>
    <m/>
    <m/>
    <m/>
    <m/>
    <m/>
  </r>
  <r>
    <x v="0"/>
    <n v="18"/>
    <s v="NAY"/>
    <x v="17"/>
    <s v="2022-2023"/>
    <x v="0"/>
    <n v="3487"/>
    <n v="1582"/>
    <n v="1905"/>
    <n v="20292"/>
    <n v="59"/>
    <n v="10"/>
    <n v="14"/>
    <n v="3268"/>
    <n v="69289"/>
    <n v="1814"/>
    <n v="2949"/>
    <n v="588"/>
    <n v="807"/>
    <n v="2716"/>
    <n v="1353"/>
    <n v="548"/>
    <n v="433"/>
    <n v="290"/>
    <n v="3487"/>
    <n v="59794704.334559582"/>
    <n v="115"/>
    <n v="361"/>
    <n v="712"/>
    <n v="39"/>
    <n v="16"/>
    <n v="19"/>
    <n v="0"/>
    <n v="0"/>
    <m/>
    <m/>
    <m/>
    <m/>
    <m/>
    <m/>
    <m/>
    <m/>
    <m/>
    <m/>
    <m/>
    <m/>
    <m/>
    <m/>
    <m/>
    <m/>
    <m/>
  </r>
  <r>
    <x v="0"/>
    <n v="19"/>
    <s v="NL"/>
    <x v="18"/>
    <s v="2022-2023"/>
    <x v="0"/>
    <n v="21662"/>
    <n v="9457"/>
    <n v="12205"/>
    <n v="92636"/>
    <n v="297"/>
    <n v="78"/>
    <n v="81"/>
    <n v="19203"/>
    <n v="283767"/>
    <n v="12314"/>
    <n v="23335"/>
    <n v="5230"/>
    <n v="5134"/>
    <n v="19491"/>
    <n v="8832"/>
    <n v="5019"/>
    <n v="5701"/>
    <n v="5492"/>
    <n v="21662"/>
    <n v="267627108.49093634"/>
    <n v="957"/>
    <n v="1549"/>
    <n v="41660"/>
    <n v="2075"/>
    <n v="1453"/>
    <n v="1774"/>
    <n v="22919"/>
    <n v="15471"/>
    <n v="442"/>
    <m/>
    <m/>
    <m/>
    <m/>
    <m/>
    <m/>
    <m/>
    <m/>
    <m/>
    <m/>
    <m/>
    <m/>
    <m/>
    <m/>
    <m/>
    <m/>
  </r>
  <r>
    <x v="1"/>
    <n v="20"/>
    <s v="OAX"/>
    <x v="19"/>
    <s v="2022-2023"/>
    <x v="0"/>
    <n v="6550"/>
    <n v="2866"/>
    <n v="3684"/>
    <n v="65985"/>
    <n v="121"/>
    <n v="24"/>
    <n v="31"/>
    <n v="5627"/>
    <n v="229368"/>
    <n v="3319"/>
    <n v="5832"/>
    <n v="1182"/>
    <n v="1079"/>
    <n v="5018"/>
    <n v="2674"/>
    <n v="1058"/>
    <n v="1004"/>
    <n v="416"/>
    <n v="6550"/>
    <n v="234557658.79106081"/>
    <n v="410"/>
    <n v="637"/>
    <n v="275"/>
    <n v="6"/>
    <n v="0"/>
    <n v="0"/>
    <n v="342"/>
    <n v="61"/>
    <m/>
    <m/>
    <m/>
    <m/>
    <m/>
    <m/>
    <m/>
    <m/>
    <m/>
    <m/>
    <m/>
    <m/>
    <m/>
    <m/>
    <m/>
    <m/>
    <m/>
  </r>
  <r>
    <x v="0"/>
    <n v="21"/>
    <s v="PUE"/>
    <x v="20"/>
    <s v="2022-2023"/>
    <x v="0"/>
    <n v="7645"/>
    <n v="2979"/>
    <n v="4666"/>
    <n v="109366"/>
    <n v="153"/>
    <n v="41"/>
    <n v="39"/>
    <n v="7006"/>
    <n v="367195"/>
    <n v="3639"/>
    <n v="7616"/>
    <n v="1968"/>
    <n v="936"/>
    <n v="7000"/>
    <n v="2713"/>
    <n v="1844"/>
    <n v="1850"/>
    <n v="1703"/>
    <n v="7645"/>
    <n v="191758341.15988243"/>
    <n v="395"/>
    <n v="1005"/>
    <n v="3020"/>
    <n v="97"/>
    <n v="105"/>
    <n v="105"/>
    <n v="3194"/>
    <n v="2498"/>
    <m/>
    <m/>
    <m/>
    <m/>
    <m/>
    <m/>
    <m/>
    <m/>
    <m/>
    <m/>
    <m/>
    <m/>
    <m/>
    <m/>
    <m/>
    <m/>
    <m/>
  </r>
  <r>
    <x v="0"/>
    <n v="22"/>
    <s v="QRO"/>
    <x v="21"/>
    <s v="2022-2023"/>
    <x v="0"/>
    <n v="3851"/>
    <n v="1730"/>
    <n v="2121"/>
    <n v="39965"/>
    <n v="73"/>
    <n v="27"/>
    <n v="27"/>
    <n v="3521"/>
    <n v="120941"/>
    <n v="1886"/>
    <n v="3548"/>
    <n v="778"/>
    <n v="718"/>
    <n v="3136"/>
    <n v="1403"/>
    <n v="719"/>
    <n v="709"/>
    <n v="700"/>
    <n v="3851"/>
    <n v="64677032.960299999"/>
    <n v="240"/>
    <n v="449"/>
    <n v="515"/>
    <n v="42"/>
    <n v="114"/>
    <n v="133"/>
    <n v="12"/>
    <n v="12"/>
    <m/>
    <m/>
    <m/>
    <m/>
    <m/>
    <m/>
    <m/>
    <m/>
    <m/>
    <m/>
    <m/>
    <m/>
    <m/>
    <m/>
    <m/>
    <m/>
    <m/>
  </r>
  <r>
    <x v="0"/>
    <n v="23"/>
    <s v="QROO"/>
    <x v="22"/>
    <s v="2022-2023"/>
    <x v="0"/>
    <n v="9930"/>
    <n v="3702"/>
    <n v="6228"/>
    <n v="29608"/>
    <n v="119"/>
    <n v="18"/>
    <n v="30"/>
    <n v="8995"/>
    <n v="90341"/>
    <n v="4102"/>
    <n v="9384"/>
    <n v="2370"/>
    <n v="637"/>
    <n v="8866"/>
    <n v="3089"/>
    <n v="2184"/>
    <n v="2052"/>
    <n v="1813"/>
    <n v="9930"/>
    <n v="119822061.78945583"/>
    <n v="427"/>
    <n v="771"/>
    <n v="10968"/>
    <n v="140"/>
    <n v="23"/>
    <n v="78"/>
    <n v="518"/>
    <n v="225"/>
    <m/>
    <m/>
    <m/>
    <m/>
    <m/>
    <m/>
    <m/>
    <m/>
    <m/>
    <m/>
    <m/>
    <m/>
    <m/>
    <m/>
    <m/>
    <m/>
    <m/>
  </r>
  <r>
    <x v="0"/>
    <n v="24"/>
    <s v="SLP"/>
    <x v="23"/>
    <s v="2022-2023"/>
    <x v="0"/>
    <n v="5213"/>
    <n v="2177"/>
    <n v="3036"/>
    <n v="45521"/>
    <n v="98"/>
    <n v="26"/>
    <n v="25"/>
    <n v="4614"/>
    <n v="154479"/>
    <n v="2630"/>
    <n v="4786"/>
    <n v="1216"/>
    <n v="1029"/>
    <n v="4407"/>
    <n v="1919"/>
    <n v="1135"/>
    <n v="1099"/>
    <n v="1033"/>
    <n v="5213"/>
    <n v="105227303.42341058"/>
    <n v="248"/>
    <n v="427"/>
    <n v="1526"/>
    <n v="460"/>
    <n v="268"/>
    <n v="311"/>
    <n v="93"/>
    <n v="93"/>
    <m/>
    <m/>
    <m/>
    <m/>
    <m/>
    <m/>
    <m/>
    <m/>
    <m/>
    <m/>
    <m/>
    <m/>
    <m/>
    <m/>
    <m/>
    <m/>
    <m/>
  </r>
  <r>
    <x v="0"/>
    <n v="25"/>
    <s v="SIN"/>
    <x v="24"/>
    <s v="2022-2023"/>
    <x v="0"/>
    <n v="8555"/>
    <n v="3551"/>
    <n v="5004"/>
    <n v="48530"/>
    <n v="236"/>
    <n v="72"/>
    <n v="40"/>
    <n v="7830"/>
    <n v="164630"/>
    <n v="3878"/>
    <n v="7922"/>
    <n v="2212"/>
    <n v="1222"/>
    <n v="7654"/>
    <n v="3156"/>
    <n v="2022"/>
    <n v="1961"/>
    <n v="1954"/>
    <n v="8555"/>
    <n v="274651990.0409115"/>
    <n v="487"/>
    <n v="1117"/>
    <n v="2417"/>
    <n v="129"/>
    <n v="35"/>
    <n v="76"/>
    <n v="0"/>
    <n v="0"/>
    <m/>
    <m/>
    <m/>
    <m/>
    <m/>
    <m/>
    <m/>
    <m/>
    <m/>
    <m/>
    <m/>
    <m/>
    <m/>
    <m/>
    <m/>
    <m/>
    <m/>
  </r>
  <r>
    <x v="0"/>
    <n v="26"/>
    <s v="SON"/>
    <x v="25"/>
    <s v="2022-2023"/>
    <x v="0"/>
    <n v="16098"/>
    <n v="6615"/>
    <n v="9483"/>
    <n v="50417"/>
    <n v="266"/>
    <n v="49"/>
    <n v="45"/>
    <n v="14681"/>
    <n v="160534"/>
    <n v="6681"/>
    <n v="15407"/>
    <n v="3517"/>
    <n v="3604"/>
    <n v="14203"/>
    <n v="6159"/>
    <n v="3190"/>
    <n v="2909"/>
    <n v="2146"/>
    <n v="16098"/>
    <n v="267112922.48971292"/>
    <n v="587"/>
    <n v="857"/>
    <n v="682"/>
    <n v="999"/>
    <n v="58"/>
    <n v="65"/>
    <n v="37"/>
    <n v="37"/>
    <m/>
    <m/>
    <m/>
    <m/>
    <m/>
    <m/>
    <m/>
    <m/>
    <m/>
    <m/>
    <m/>
    <m/>
    <m/>
    <m/>
    <m/>
    <m/>
    <m/>
  </r>
  <r>
    <x v="0"/>
    <n v="27"/>
    <s v="TAB"/>
    <x v="26"/>
    <s v="2022-2023"/>
    <x v="0"/>
    <n v="5842"/>
    <n v="2333"/>
    <n v="3509"/>
    <n v="44150"/>
    <n v="90"/>
    <n v="27"/>
    <n v="21"/>
    <n v="5392"/>
    <n v="135391"/>
    <n v="2335"/>
    <n v="5431"/>
    <n v="1547"/>
    <n v="357"/>
    <n v="5224"/>
    <n v="2129"/>
    <n v="1462"/>
    <n v="1356"/>
    <n v="1326"/>
    <n v="5842"/>
    <n v="135885647.80048683"/>
    <n v="306"/>
    <n v="484"/>
    <n v="118"/>
    <n v="38"/>
    <n v="50"/>
    <n v="54"/>
    <n v="81"/>
    <n v="81"/>
    <m/>
    <m/>
    <m/>
    <m/>
    <m/>
    <m/>
    <m/>
    <m/>
    <m/>
    <m/>
    <m/>
    <m/>
    <m/>
    <m/>
    <m/>
    <m/>
    <m/>
  </r>
  <r>
    <x v="0"/>
    <n v="28"/>
    <s v="TAMPS"/>
    <x v="27"/>
    <s v="2022-2023"/>
    <x v="0"/>
    <n v="7970"/>
    <n v="3483"/>
    <n v="4487"/>
    <n v="57270"/>
    <n v="164"/>
    <n v="30"/>
    <n v="42"/>
    <n v="7387"/>
    <n v="188540"/>
    <n v="3796"/>
    <n v="6916"/>
    <n v="1922"/>
    <n v="863"/>
    <n v="6748"/>
    <n v="3065"/>
    <n v="1801"/>
    <n v="1780"/>
    <n v="1747"/>
    <n v="7970"/>
    <n v="208190697.59789068"/>
    <n v="357"/>
    <n v="1077"/>
    <n v="3269"/>
    <n v="179"/>
    <n v="65"/>
    <n v="65"/>
    <n v="0"/>
    <n v="0"/>
    <n v="45"/>
    <m/>
    <m/>
    <m/>
    <m/>
    <m/>
    <m/>
    <m/>
    <m/>
    <m/>
    <m/>
    <m/>
    <m/>
    <m/>
    <m/>
    <m/>
    <m/>
  </r>
  <r>
    <x v="0"/>
    <n v="29"/>
    <s v="TLAX"/>
    <x v="28"/>
    <s v="2022-2023"/>
    <x v="0"/>
    <n v="3315"/>
    <n v="1257"/>
    <n v="2058"/>
    <n v="23951"/>
    <n v="49"/>
    <n v="18"/>
    <n v="15"/>
    <n v="3100"/>
    <n v="74712"/>
    <n v="1391"/>
    <n v="3146"/>
    <n v="855"/>
    <n v="369"/>
    <n v="3069"/>
    <n v="1171"/>
    <n v="791"/>
    <n v="765"/>
    <n v="742"/>
    <n v="3315"/>
    <n v="52799734.760300003"/>
    <n v="175"/>
    <n v="455"/>
    <n v="346"/>
    <n v="18"/>
    <n v="6"/>
    <n v="6"/>
    <n v="0"/>
    <n v="0"/>
    <m/>
    <m/>
    <m/>
    <m/>
    <m/>
    <m/>
    <m/>
    <m/>
    <m/>
    <m/>
    <m/>
    <m/>
    <m/>
    <m/>
    <m/>
    <m/>
    <m/>
  </r>
  <r>
    <x v="0"/>
    <n v="30"/>
    <s v="VER"/>
    <x v="29"/>
    <s v="2022-2023"/>
    <x v="0"/>
    <n v="12512"/>
    <n v="4855"/>
    <n v="7657"/>
    <n v="119336"/>
    <n v="183"/>
    <n v="44"/>
    <n v="75"/>
    <n v="11686"/>
    <n v="430653"/>
    <n v="6193"/>
    <n v="11461"/>
    <n v="2953"/>
    <n v="1209"/>
    <n v="11031"/>
    <n v="3739"/>
    <n v="2847"/>
    <n v="2432"/>
    <n v="2178"/>
    <n v="12512"/>
    <n v="281758962.55795401"/>
    <n v="592"/>
    <n v="1543"/>
    <n v="6557"/>
    <n v="70"/>
    <n v="42"/>
    <n v="324"/>
    <n v="1429"/>
    <n v="708"/>
    <n v="418"/>
    <m/>
    <m/>
    <m/>
    <m/>
    <m/>
    <m/>
    <m/>
    <m/>
    <m/>
    <m/>
    <m/>
    <m/>
    <m/>
    <m/>
    <m/>
    <m/>
  </r>
  <r>
    <x v="0"/>
    <n v="31"/>
    <s v="YUC"/>
    <x v="30"/>
    <s v="2022-2023"/>
    <x v="0"/>
    <n v="5523"/>
    <n v="2205"/>
    <n v="3318"/>
    <n v="35950"/>
    <n v="69"/>
    <n v="14"/>
    <n v="18"/>
    <n v="4453"/>
    <n v="113782"/>
    <n v="2396"/>
    <n v="5289"/>
    <n v="1217"/>
    <n v="1027"/>
    <n v="4771"/>
    <n v="1994"/>
    <n v="1053"/>
    <n v="929"/>
    <n v="734"/>
    <n v="5523"/>
    <n v="121144963.89596583"/>
    <n v="259"/>
    <n v="484"/>
    <n v="4955"/>
    <n v="224"/>
    <n v="171"/>
    <n v="173"/>
    <n v="623"/>
    <n v="516"/>
    <m/>
    <m/>
    <m/>
    <m/>
    <m/>
    <m/>
    <m/>
    <m/>
    <m/>
    <m/>
    <m/>
    <m/>
    <m/>
    <m/>
    <m/>
    <m/>
    <m/>
  </r>
  <r>
    <x v="0"/>
    <n v="32"/>
    <s v="ZAC"/>
    <x v="31"/>
    <s v="2022-2023"/>
    <x v="0"/>
    <n v="1477"/>
    <n v="661"/>
    <n v="816"/>
    <n v="27483"/>
    <n v="60"/>
    <n v="21"/>
    <n v="7"/>
    <n v="1193"/>
    <n v="91330"/>
    <n v="777"/>
    <n v="1419"/>
    <n v="223"/>
    <n v="525"/>
    <n v="1238"/>
    <n v="610"/>
    <n v="181"/>
    <n v="223"/>
    <n v="181"/>
    <n v="1477"/>
    <n v="46764753.776171833"/>
    <n v="81"/>
    <n v="197"/>
    <n v="365"/>
    <n v="185"/>
    <n v="24"/>
    <n v="26"/>
    <n v="3"/>
    <n v="3"/>
    <m/>
    <m/>
    <m/>
    <m/>
    <m/>
    <m/>
    <m/>
    <m/>
    <m/>
    <m/>
    <m/>
    <m/>
    <m/>
    <m/>
    <m/>
    <m/>
    <m/>
  </r>
  <r>
    <x v="2"/>
    <n v="33"/>
    <s v="OTRO"/>
    <x v="32"/>
    <s v="2022-2023"/>
    <x v="0"/>
    <m/>
    <m/>
    <m/>
    <m/>
    <m/>
    <m/>
    <m/>
    <m/>
    <m/>
    <m/>
    <m/>
    <m/>
    <m/>
    <m/>
    <m/>
    <m/>
    <m/>
    <m/>
    <m/>
    <m/>
    <m/>
    <m/>
    <m/>
    <m/>
    <m/>
    <m/>
    <n v="1204"/>
    <n v="1201"/>
    <m/>
    <m/>
    <m/>
    <m/>
    <m/>
    <m/>
    <m/>
    <m/>
    <m/>
    <m/>
    <m/>
    <m/>
    <m/>
    <m/>
    <m/>
    <m/>
    <m/>
  </r>
  <r>
    <x v="1"/>
    <n v="0"/>
    <s v="ON"/>
    <x v="33"/>
    <s v="2022-2023"/>
    <x v="0"/>
    <m/>
    <m/>
    <m/>
    <m/>
    <m/>
    <m/>
    <m/>
    <m/>
    <m/>
    <m/>
    <m/>
    <m/>
    <m/>
    <m/>
    <m/>
    <m/>
    <m/>
    <m/>
    <m/>
    <m/>
    <m/>
    <m/>
    <n v="4839"/>
    <m/>
    <m/>
    <m/>
    <n v="2286"/>
    <n v="2238"/>
    <m/>
    <n v="504351.18284999998"/>
    <n v="1716208.933"/>
    <n v="1716208.933"/>
    <n v="1725174.2520000001"/>
    <n v="1680174.2520000001"/>
    <n v="1680174.2520000001"/>
    <n v="1716208.933"/>
    <n v="1725174.2520000001"/>
    <n v="0"/>
    <n v="0"/>
    <n v="36034.680999999997"/>
    <n v="1716208.933"/>
    <n v="39503.966999999997"/>
    <n v="45000"/>
    <m/>
    <m/>
  </r>
  <r>
    <x v="0"/>
    <n v="1"/>
    <s v="AGS"/>
    <x v="0"/>
    <s v="2021-2022"/>
    <x v="1"/>
    <n v="4237"/>
    <n v="1578"/>
    <n v="2659"/>
    <n v="23123"/>
    <n v="83"/>
    <n v="19"/>
    <n v="22"/>
    <n v="3913"/>
    <n v="80810"/>
    <n v="2543"/>
    <n v="4531"/>
    <n v="1120"/>
    <n v="755"/>
    <n v="3937"/>
    <n v="1689"/>
    <n v="1037"/>
    <n v="1067"/>
    <n v="993"/>
    <n v="4237"/>
    <n v="82825222"/>
    <n v="272"/>
    <n v="429"/>
    <n v="1136"/>
    <n v="71"/>
    <n v="39"/>
    <n v="59"/>
    <n v="2428"/>
    <n v="2240"/>
    <m/>
    <m/>
    <m/>
    <m/>
    <m/>
    <m/>
    <m/>
    <m/>
    <m/>
    <m/>
    <m/>
    <m/>
    <m/>
    <m/>
    <m/>
    <m/>
    <m/>
  </r>
  <r>
    <x v="0"/>
    <n v="2"/>
    <s v="BC"/>
    <x v="1"/>
    <s v="2021-2022"/>
    <x v="1"/>
    <n v="8841"/>
    <n v="3331"/>
    <n v="5510"/>
    <n v="59470"/>
    <n v="125"/>
    <n v="32"/>
    <n v="24"/>
    <n v="7562"/>
    <n v="187199"/>
    <n v="3517"/>
    <n v="8621"/>
    <n v="1687"/>
    <n v="1125"/>
    <n v="7861"/>
    <n v="3296"/>
    <n v="1597"/>
    <n v="1630"/>
    <n v="1493"/>
    <n v="8841"/>
    <n v="151148152.66"/>
    <n v="384"/>
    <n v="749"/>
    <n v="6040"/>
    <n v="199"/>
    <n v="241"/>
    <n v="242"/>
    <n v="1137"/>
    <n v="1131"/>
    <n v="194"/>
    <m/>
    <m/>
    <m/>
    <m/>
    <m/>
    <m/>
    <m/>
    <m/>
    <m/>
    <m/>
    <m/>
    <m/>
    <m/>
    <m/>
    <m/>
    <m/>
  </r>
  <r>
    <x v="0"/>
    <n v="3"/>
    <s v="BCS"/>
    <x v="2"/>
    <s v="2021-2022"/>
    <x v="1"/>
    <n v="1531"/>
    <n v="709"/>
    <n v="822"/>
    <n v="12883"/>
    <n v="18"/>
    <n v="5"/>
    <n v="1"/>
    <n v="1314"/>
    <n v="40506"/>
    <n v="985"/>
    <n v="1505"/>
    <n v="378"/>
    <n v="308"/>
    <n v="1289"/>
    <n v="679"/>
    <n v="368"/>
    <n v="326"/>
    <n v="325"/>
    <n v="1531"/>
    <n v="37802262.619999997"/>
    <n v="80"/>
    <n v="217"/>
    <n v="418"/>
    <m/>
    <m/>
    <n v="1"/>
    <n v="0"/>
    <n v="0"/>
    <m/>
    <m/>
    <m/>
    <m/>
    <m/>
    <m/>
    <m/>
    <m/>
    <m/>
    <m/>
    <m/>
    <m/>
    <m/>
    <m/>
    <m/>
    <m/>
    <m/>
  </r>
  <r>
    <x v="0"/>
    <n v="4"/>
    <s v="CAMP"/>
    <x v="3"/>
    <s v="2021-2022"/>
    <x v="1"/>
    <n v="1937"/>
    <n v="795"/>
    <n v="1142"/>
    <n v="14576"/>
    <n v="39"/>
    <n v="9"/>
    <n v="13"/>
    <n v="1566"/>
    <n v="51300"/>
    <n v="882"/>
    <n v="1959"/>
    <n v="448"/>
    <n v="385"/>
    <n v="1668"/>
    <n v="798"/>
    <n v="423"/>
    <n v="395"/>
    <n v="316"/>
    <n v="1937"/>
    <n v="46249327.069999993"/>
    <n v="121"/>
    <n v="331"/>
    <n v="2251"/>
    <m/>
    <n v="12"/>
    <n v="12"/>
    <n v="794"/>
    <n v="765"/>
    <m/>
    <m/>
    <m/>
    <m/>
    <m/>
    <m/>
    <m/>
    <m/>
    <m/>
    <m/>
    <m/>
    <m/>
    <m/>
    <m/>
    <m/>
    <m/>
    <m/>
  </r>
  <r>
    <x v="0"/>
    <n v="7"/>
    <s v="CHIAP"/>
    <x v="4"/>
    <s v="2021-2022"/>
    <x v="1"/>
    <n v="8499"/>
    <n v="3840"/>
    <n v="4659"/>
    <n v="92843"/>
    <n v="160"/>
    <n v="17"/>
    <n v="51"/>
    <n v="5951"/>
    <n v="337886"/>
    <n v="4649"/>
    <n v="7105"/>
    <n v="1645"/>
    <n v="1078"/>
    <n v="6796"/>
    <n v="2491"/>
    <n v="1584"/>
    <n v="1773"/>
    <n v="1365"/>
    <n v="8499"/>
    <n v="221110958"/>
    <n v="430"/>
    <n v="714"/>
    <n v="3583"/>
    <n v="63"/>
    <n v="75"/>
    <n v="104"/>
    <n v="543"/>
    <n v="541"/>
    <m/>
    <m/>
    <m/>
    <m/>
    <m/>
    <m/>
    <m/>
    <m/>
    <m/>
    <m/>
    <m/>
    <m/>
    <m/>
    <m/>
    <m/>
    <m/>
    <m/>
  </r>
  <r>
    <x v="0"/>
    <n v="8"/>
    <s v="CHIH"/>
    <x v="5"/>
    <s v="2021-2022"/>
    <x v="1"/>
    <n v="8336"/>
    <n v="3423"/>
    <n v="4913"/>
    <n v="58401"/>
    <n v="154"/>
    <n v="47"/>
    <n v="32"/>
    <n v="7575"/>
    <n v="203269"/>
    <n v="4110"/>
    <n v="8628"/>
    <n v="1729"/>
    <n v="1720"/>
    <n v="7038"/>
    <n v="3347"/>
    <n v="1627"/>
    <n v="1941"/>
    <n v="1770"/>
    <n v="8336"/>
    <n v="203227754"/>
    <n v="562"/>
    <n v="983"/>
    <n v="2181"/>
    <n v="176"/>
    <n v="208"/>
    <n v="226"/>
    <n v="174"/>
    <n v="166"/>
    <n v="374"/>
    <m/>
    <m/>
    <m/>
    <m/>
    <m/>
    <m/>
    <m/>
    <m/>
    <m/>
    <m/>
    <m/>
    <m/>
    <m/>
    <m/>
    <m/>
    <m/>
  </r>
  <r>
    <x v="1"/>
    <n v="9"/>
    <s v="CDMX"/>
    <x v="6"/>
    <s v="2021-2022"/>
    <x v="1"/>
    <n v="46483"/>
    <n v="16933"/>
    <n v="29550"/>
    <n v="141390"/>
    <n v="575"/>
    <n v="131"/>
    <n v="139"/>
    <n v="39101"/>
    <n v="369537"/>
    <n v="20273"/>
    <n v="45497"/>
    <n v="9666"/>
    <n v="5077"/>
    <n v="42419"/>
    <n v="18512"/>
    <n v="8846"/>
    <n v="8086"/>
    <n v="4165"/>
    <n v="46483"/>
    <n v="743102655.43532991"/>
    <n v="2265"/>
    <n v="3705"/>
    <n v="3707"/>
    <n v="76"/>
    <n v="245"/>
    <n v="281"/>
    <n v="301"/>
    <n v="206"/>
    <m/>
    <m/>
    <m/>
    <m/>
    <m/>
    <m/>
    <m/>
    <m/>
    <m/>
    <m/>
    <m/>
    <m/>
    <m/>
    <m/>
    <m/>
    <m/>
    <m/>
  </r>
  <r>
    <x v="0"/>
    <n v="5"/>
    <s v="COAH"/>
    <x v="7"/>
    <s v="2021-2022"/>
    <x v="1"/>
    <n v="10123"/>
    <n v="3684"/>
    <n v="6439"/>
    <n v="49463"/>
    <n v="135"/>
    <n v="43"/>
    <n v="36"/>
    <n v="9543"/>
    <n v="167219"/>
    <n v="4253"/>
    <n v="10367"/>
    <n v="2917"/>
    <n v="1029"/>
    <n v="9857"/>
    <n v="3963"/>
    <n v="2844"/>
    <n v="3172"/>
    <n v="3170"/>
    <n v="10123"/>
    <n v="164530280.71000001"/>
    <n v="423"/>
    <n v="1141"/>
    <n v="700"/>
    <n v="42"/>
    <n v="75"/>
    <n v="86"/>
    <n v="37"/>
    <n v="24"/>
    <m/>
    <m/>
    <m/>
    <m/>
    <m/>
    <m/>
    <m/>
    <m/>
    <m/>
    <m/>
    <m/>
    <m/>
    <m/>
    <m/>
    <m/>
    <m/>
    <m/>
  </r>
  <r>
    <x v="0"/>
    <n v="6"/>
    <s v="COL"/>
    <x v="8"/>
    <s v="2021-2022"/>
    <x v="1"/>
    <n v="1760"/>
    <n v="681"/>
    <n v="1079"/>
    <n v="10985"/>
    <n v="47"/>
    <n v="6"/>
    <n v="11"/>
    <n v="1119"/>
    <n v="39871"/>
    <n v="759"/>
    <n v="1849"/>
    <n v="393"/>
    <n v="316"/>
    <n v="1488"/>
    <n v="763"/>
    <n v="357"/>
    <n v="349"/>
    <n v="313"/>
    <n v="1760"/>
    <n v="46380274.670000002"/>
    <n v="110"/>
    <n v="320"/>
    <n v="363"/>
    <n v="7"/>
    <n v="2"/>
    <n v="21"/>
    <n v="15"/>
    <n v="15"/>
    <m/>
    <m/>
    <m/>
    <m/>
    <m/>
    <m/>
    <m/>
    <m/>
    <m/>
    <m/>
    <m/>
    <m/>
    <m/>
    <m/>
    <m/>
    <m/>
    <m/>
  </r>
  <r>
    <x v="0"/>
    <n v="10"/>
    <s v="DGO"/>
    <x v="9"/>
    <s v="2021-2022"/>
    <x v="1"/>
    <n v="1607"/>
    <n v="722"/>
    <n v="885"/>
    <n v="29051"/>
    <n v="51"/>
    <n v="19"/>
    <n v="10"/>
    <n v="1355"/>
    <n v="103115"/>
    <n v="794"/>
    <n v="1601"/>
    <n v="294"/>
    <n v="500"/>
    <n v="1288"/>
    <n v="744"/>
    <n v="267"/>
    <n v="401"/>
    <n v="235"/>
    <n v="1607"/>
    <n v="45738490.170000002"/>
    <n v="148"/>
    <n v="260"/>
    <n v="1904"/>
    <n v="34"/>
    <n v="32"/>
    <n v="32"/>
    <n v="26"/>
    <n v="26"/>
    <m/>
    <m/>
    <m/>
    <m/>
    <m/>
    <m/>
    <m/>
    <m/>
    <m/>
    <m/>
    <m/>
    <m/>
    <m/>
    <m/>
    <m/>
    <m/>
    <m/>
  </r>
  <r>
    <x v="0"/>
    <n v="11"/>
    <s v="GTO"/>
    <x v="10"/>
    <s v="2021-2022"/>
    <x v="1"/>
    <n v="16462"/>
    <n v="6288"/>
    <n v="10174"/>
    <n v="100029"/>
    <n v="308"/>
    <n v="90"/>
    <n v="82"/>
    <n v="15302"/>
    <n v="339774"/>
    <n v="7626"/>
    <n v="17465"/>
    <n v="4136"/>
    <n v="3989"/>
    <n v="15576"/>
    <n v="6642"/>
    <n v="4068"/>
    <n v="5149"/>
    <n v="4886"/>
    <n v="16462"/>
    <n v="292445970.76999998"/>
    <n v="804"/>
    <n v="2187"/>
    <n v="1214"/>
    <n v="107"/>
    <n v="1029"/>
    <n v="1309"/>
    <n v="119"/>
    <n v="96"/>
    <n v="6553"/>
    <m/>
    <m/>
    <m/>
    <m/>
    <m/>
    <m/>
    <m/>
    <m/>
    <m/>
    <m/>
    <m/>
    <m/>
    <m/>
    <m/>
    <m/>
    <m/>
  </r>
  <r>
    <x v="0"/>
    <n v="12"/>
    <s v="GRO"/>
    <x v="11"/>
    <s v="2021-2022"/>
    <x v="1"/>
    <n v="5818"/>
    <n v="2452"/>
    <n v="3366"/>
    <n v="60756"/>
    <n v="134"/>
    <n v="26"/>
    <n v="41"/>
    <n v="5107"/>
    <n v="209485"/>
    <n v="2768"/>
    <n v="5983"/>
    <n v="1328"/>
    <n v="1597"/>
    <n v="5020"/>
    <n v="2388"/>
    <n v="1270"/>
    <n v="1392"/>
    <n v="1045"/>
    <n v="5818"/>
    <n v="169830661"/>
    <n v="290"/>
    <n v="719"/>
    <n v="11625"/>
    <n v="644"/>
    <n v="7"/>
    <n v="7"/>
    <n v="20"/>
    <n v="20"/>
    <m/>
    <m/>
    <m/>
    <m/>
    <m/>
    <m/>
    <m/>
    <m/>
    <m/>
    <m/>
    <m/>
    <m/>
    <m/>
    <m/>
    <m/>
    <m/>
    <m/>
  </r>
  <r>
    <x v="0"/>
    <n v="13"/>
    <s v="HGO"/>
    <x v="12"/>
    <s v="2021-2022"/>
    <x v="1"/>
    <n v="3684"/>
    <n v="1427"/>
    <n v="2257"/>
    <n v="55543"/>
    <n v="72"/>
    <n v="37"/>
    <n v="17"/>
    <n v="3325"/>
    <n v="165727"/>
    <n v="1723"/>
    <n v="3744"/>
    <n v="913"/>
    <n v="469"/>
    <n v="3397"/>
    <n v="1421"/>
    <n v="868"/>
    <n v="864"/>
    <n v="862"/>
    <n v="3684"/>
    <n v="70934691.959999993"/>
    <n v="194"/>
    <n v="428"/>
    <n v="1140"/>
    <m/>
    <n v="29"/>
    <n v="35"/>
    <n v="79"/>
    <n v="76"/>
    <m/>
    <m/>
    <m/>
    <m/>
    <m/>
    <m/>
    <m/>
    <m/>
    <m/>
    <m/>
    <m/>
    <m/>
    <m/>
    <m/>
    <m/>
    <m/>
    <m/>
  </r>
  <r>
    <x v="0"/>
    <n v="14"/>
    <s v="JAL"/>
    <x v="13"/>
    <s v="2021-2022"/>
    <x v="1"/>
    <n v="13107"/>
    <n v="4606"/>
    <n v="8501"/>
    <n v="132315"/>
    <n v="273"/>
    <n v="38"/>
    <n v="64"/>
    <n v="11022"/>
    <n v="446045"/>
    <n v="4678"/>
    <n v="13609"/>
    <n v="2961"/>
    <n v="2347"/>
    <n v="12207"/>
    <n v="5515"/>
    <n v="2750"/>
    <n v="3267"/>
    <n v="2879"/>
    <n v="13107"/>
    <n v="282480364.50000006"/>
    <n v="737"/>
    <n v="2084"/>
    <n v="9912"/>
    <n v="530"/>
    <n v="977"/>
    <n v="1098"/>
    <n v="306"/>
    <n v="189"/>
    <n v="755"/>
    <m/>
    <m/>
    <m/>
    <m/>
    <m/>
    <m/>
    <m/>
    <m/>
    <m/>
    <m/>
    <m/>
    <m/>
    <m/>
    <m/>
    <m/>
    <m/>
  </r>
  <r>
    <x v="0"/>
    <n v="15"/>
    <s v="MEX"/>
    <x v="14"/>
    <s v="2021-2022"/>
    <x v="1"/>
    <n v="48029"/>
    <n v="18271"/>
    <n v="29758"/>
    <n v="280953"/>
    <n v="792"/>
    <n v="188"/>
    <n v="205"/>
    <n v="43041"/>
    <n v="887753"/>
    <n v="18288"/>
    <n v="47010"/>
    <n v="10832"/>
    <n v="4334"/>
    <n v="43239"/>
    <n v="18922"/>
    <n v="10186"/>
    <n v="9977"/>
    <n v="6508"/>
    <n v="48029"/>
    <n v="822953049.16999996"/>
    <n v="2092"/>
    <n v="4445"/>
    <n v="6191"/>
    <n v="1137"/>
    <n v="1057"/>
    <n v="1231"/>
    <n v="2732"/>
    <n v="1171"/>
    <n v="1007"/>
    <m/>
    <m/>
    <m/>
    <m/>
    <m/>
    <m/>
    <m/>
    <m/>
    <m/>
    <m/>
    <m/>
    <m/>
    <m/>
    <m/>
    <m/>
    <m/>
  </r>
  <r>
    <x v="0"/>
    <n v="16"/>
    <s v="MICH"/>
    <x v="15"/>
    <s v="2021-2022"/>
    <x v="1"/>
    <n v="10545"/>
    <n v="4133"/>
    <n v="6412"/>
    <n v="69477"/>
    <n v="244"/>
    <n v="53"/>
    <n v="66"/>
    <n v="9223"/>
    <n v="260389"/>
    <n v="4562"/>
    <n v="11062"/>
    <n v="2470"/>
    <n v="655"/>
    <n v="9357"/>
    <n v="4376"/>
    <n v="2325"/>
    <n v="2596"/>
    <n v="2292"/>
    <n v="10545"/>
    <n v="213395957.60999998"/>
    <n v="439"/>
    <n v="1204"/>
    <n v="495"/>
    <n v="284"/>
    <n v="259"/>
    <n v="266"/>
    <n v="6080"/>
    <n v="4994"/>
    <m/>
    <m/>
    <m/>
    <m/>
    <m/>
    <m/>
    <m/>
    <m/>
    <m/>
    <m/>
    <m/>
    <m/>
    <m/>
    <m/>
    <m/>
    <m/>
    <m/>
  </r>
  <r>
    <x v="0"/>
    <n v="17"/>
    <s v="MOR"/>
    <x v="16"/>
    <s v="2021-2022"/>
    <x v="1"/>
    <n v="4277"/>
    <n v="1854"/>
    <n v="2423"/>
    <n v="31224"/>
    <n v="74"/>
    <n v="17"/>
    <n v="13"/>
    <n v="3796"/>
    <n v="102796"/>
    <n v="2152"/>
    <n v="4340"/>
    <n v="932"/>
    <n v="809"/>
    <n v="3643"/>
    <n v="1846"/>
    <n v="854"/>
    <n v="981"/>
    <n v="855"/>
    <n v="4277"/>
    <n v="78374947.460000008"/>
    <n v="235"/>
    <n v="532"/>
    <n v="1414"/>
    <n v="64"/>
    <n v="167"/>
    <n v="184"/>
    <n v="991"/>
    <n v="991"/>
    <m/>
    <m/>
    <m/>
    <m/>
    <m/>
    <m/>
    <m/>
    <m/>
    <m/>
    <m/>
    <m/>
    <m/>
    <m/>
    <m/>
    <m/>
    <m/>
    <m/>
  </r>
  <r>
    <x v="0"/>
    <n v="18"/>
    <s v="NAY"/>
    <x v="17"/>
    <s v="2021-2022"/>
    <x v="1"/>
    <n v="2949"/>
    <n v="1280"/>
    <n v="1669"/>
    <n v="19826"/>
    <n v="59"/>
    <n v="10"/>
    <n v="14"/>
    <n v="2794"/>
    <n v="68627"/>
    <n v="1443"/>
    <n v="2894"/>
    <n v="464"/>
    <n v="982"/>
    <n v="2409"/>
    <n v="1114"/>
    <n v="433"/>
    <n v="568"/>
    <n v="339"/>
    <n v="2949"/>
    <n v="56027295.090000004"/>
    <n v="132"/>
    <n v="361"/>
    <n v="2448"/>
    <n v="11"/>
    <n v="28"/>
    <n v="28"/>
    <n v="0"/>
    <n v="0"/>
    <m/>
    <m/>
    <m/>
    <m/>
    <m/>
    <m/>
    <m/>
    <m/>
    <m/>
    <m/>
    <m/>
    <m/>
    <m/>
    <m/>
    <m/>
    <m/>
    <m/>
  </r>
  <r>
    <x v="0"/>
    <n v="19"/>
    <s v="NL"/>
    <x v="18"/>
    <s v="2021-2022"/>
    <x v="1"/>
    <n v="23335"/>
    <n v="8841"/>
    <n v="14494"/>
    <n v="89094"/>
    <n v="298"/>
    <n v="78"/>
    <n v="81"/>
    <n v="19836"/>
    <n v="283595"/>
    <n v="10564"/>
    <n v="21963"/>
    <n v="5910"/>
    <n v="1888"/>
    <n v="21228"/>
    <n v="7840"/>
    <n v="5701"/>
    <n v="5889"/>
    <n v="5731"/>
    <n v="23335"/>
    <n v="287356729"/>
    <n v="1008"/>
    <n v="1549"/>
    <n v="39669"/>
    <n v="1274"/>
    <n v="1832"/>
    <n v="2037"/>
    <n v="94595"/>
    <n v="73570"/>
    <n v="384"/>
    <m/>
    <m/>
    <m/>
    <m/>
    <m/>
    <m/>
    <m/>
    <m/>
    <m/>
    <m/>
    <m/>
    <m/>
    <m/>
    <m/>
    <m/>
    <m/>
  </r>
  <r>
    <x v="1"/>
    <n v="20"/>
    <s v="OAX"/>
    <x v="19"/>
    <s v="2021-2022"/>
    <x v="1"/>
    <n v="5832"/>
    <n v="2203"/>
    <n v="3629"/>
    <n v="71849"/>
    <n v="121"/>
    <n v="24"/>
    <n v="31"/>
    <n v="4972"/>
    <n v="229797"/>
    <n v="2633"/>
    <n v="6354"/>
    <n v="1054"/>
    <n v="1793"/>
    <n v="5128"/>
    <n v="2220"/>
    <n v="1004"/>
    <n v="1223"/>
    <n v="611"/>
    <n v="5832"/>
    <n v="217167527.859029"/>
    <n v="395"/>
    <n v="637"/>
    <n v="571"/>
    <n v="4"/>
    <n v="3"/>
    <n v="22"/>
    <n v="67"/>
    <n v="67"/>
    <m/>
    <m/>
    <m/>
    <m/>
    <m/>
    <m/>
    <m/>
    <m/>
    <m/>
    <m/>
    <m/>
    <m/>
    <m/>
    <m/>
    <m/>
    <m/>
    <m/>
  </r>
  <r>
    <x v="0"/>
    <n v="21"/>
    <s v="PUE"/>
    <x v="20"/>
    <s v="2021-2022"/>
    <x v="1"/>
    <n v="7616"/>
    <n v="2960"/>
    <n v="4656"/>
    <n v="111386"/>
    <n v="153"/>
    <n v="41"/>
    <n v="39"/>
    <n v="6877"/>
    <n v="368029"/>
    <n v="3474"/>
    <n v="7329"/>
    <n v="1923"/>
    <n v="255"/>
    <n v="6814"/>
    <n v="2756"/>
    <n v="1850"/>
    <n v="1948"/>
    <n v="1693"/>
    <n v="7616"/>
    <n v="167926851.00999999"/>
    <n v="390"/>
    <n v="1005"/>
    <n v="381"/>
    <n v="203"/>
    <n v="88"/>
    <n v="91"/>
    <n v="1868"/>
    <n v="1369"/>
    <m/>
    <m/>
    <m/>
    <m/>
    <m/>
    <m/>
    <m/>
    <m/>
    <m/>
    <m/>
    <m/>
    <m/>
    <m/>
    <m/>
    <m/>
    <m/>
    <m/>
  </r>
  <r>
    <x v="0"/>
    <n v="22"/>
    <s v="QRO"/>
    <x v="21"/>
    <s v="2021-2022"/>
    <x v="1"/>
    <n v="3548"/>
    <n v="1603"/>
    <n v="1945"/>
    <n v="37075"/>
    <n v="68"/>
    <n v="23"/>
    <n v="26"/>
    <n v="3268"/>
    <n v="120618"/>
    <n v="2309"/>
    <n v="3502"/>
    <n v="725"/>
    <n v="787"/>
    <n v="2897"/>
    <n v="1380"/>
    <n v="709"/>
    <n v="883"/>
    <n v="865"/>
    <n v="3548"/>
    <n v="68624849"/>
    <n v="232"/>
    <n v="449"/>
    <n v="205"/>
    <n v="41"/>
    <n v="139"/>
    <n v="162"/>
    <n v="16"/>
    <n v="10"/>
    <m/>
    <m/>
    <m/>
    <m/>
    <m/>
    <m/>
    <m/>
    <m/>
    <m/>
    <m/>
    <m/>
    <m/>
    <m/>
    <m/>
    <m/>
    <m/>
    <m/>
  </r>
  <r>
    <x v="0"/>
    <n v="23"/>
    <s v="QROO"/>
    <x v="22"/>
    <s v="2021-2022"/>
    <x v="1"/>
    <n v="9384"/>
    <n v="3535"/>
    <n v="5849"/>
    <n v="28166"/>
    <n v="113"/>
    <n v="14"/>
    <n v="27"/>
    <n v="8408"/>
    <n v="89680"/>
    <n v="3727"/>
    <n v="8623"/>
    <n v="2092"/>
    <n v="1124"/>
    <n v="8252"/>
    <n v="3139"/>
    <n v="2052"/>
    <n v="2199"/>
    <n v="1966"/>
    <n v="9384"/>
    <n v="107467606.17"/>
    <n v="406"/>
    <n v="771"/>
    <n v="6838"/>
    <n v="63"/>
    <n v="13"/>
    <n v="61"/>
    <n v="367"/>
    <n v="119"/>
    <m/>
    <m/>
    <m/>
    <m/>
    <m/>
    <m/>
    <m/>
    <m/>
    <m/>
    <m/>
    <m/>
    <m/>
    <m/>
    <m/>
    <m/>
    <m/>
    <m/>
  </r>
  <r>
    <x v="0"/>
    <n v="24"/>
    <s v="SLP"/>
    <x v="23"/>
    <s v="2021-2022"/>
    <x v="1"/>
    <n v="4786"/>
    <n v="1842"/>
    <n v="2944"/>
    <n v="46971"/>
    <n v="98"/>
    <n v="26"/>
    <n v="25"/>
    <n v="4318"/>
    <n v="155782"/>
    <n v="2087"/>
    <n v="4774"/>
    <n v="1131"/>
    <n v="1127"/>
    <n v="4286"/>
    <n v="1930"/>
    <n v="1099"/>
    <n v="1483"/>
    <n v="1422"/>
    <n v="4786"/>
    <n v="95196960.980000004"/>
    <n v="234"/>
    <n v="427"/>
    <n v="1169"/>
    <n v="193"/>
    <n v="701"/>
    <n v="702"/>
    <n v="285"/>
    <n v="153"/>
    <m/>
    <m/>
    <m/>
    <m/>
    <m/>
    <m/>
    <m/>
    <m/>
    <m/>
    <m/>
    <m/>
    <m/>
    <m/>
    <m/>
    <m/>
    <m/>
    <m/>
  </r>
  <r>
    <x v="0"/>
    <n v="25"/>
    <s v="SIN"/>
    <x v="24"/>
    <s v="2021-2022"/>
    <x v="1"/>
    <n v="7922"/>
    <n v="2930"/>
    <n v="4992"/>
    <n v="48285"/>
    <n v="236"/>
    <n v="72"/>
    <n v="40"/>
    <n v="7167"/>
    <n v="165565"/>
    <n v="3135"/>
    <n v="8184"/>
    <n v="2057"/>
    <n v="1583"/>
    <n v="7385"/>
    <n v="3373"/>
    <n v="1961"/>
    <n v="2478"/>
    <n v="2471"/>
    <n v="7922"/>
    <n v="299164453"/>
    <n v="482"/>
    <n v="1117"/>
    <n v="190"/>
    <n v="246"/>
    <n v="157"/>
    <n v="283"/>
    <n v="0"/>
    <n v="0"/>
    <m/>
    <m/>
    <m/>
    <m/>
    <m/>
    <m/>
    <m/>
    <m/>
    <m/>
    <m/>
    <m/>
    <m/>
    <m/>
    <m/>
    <m/>
    <m/>
    <m/>
  </r>
  <r>
    <x v="0"/>
    <n v="26"/>
    <s v="SON"/>
    <x v="25"/>
    <s v="2021-2022"/>
    <x v="1"/>
    <n v="15407"/>
    <n v="5630"/>
    <n v="9777"/>
    <n v="48473"/>
    <n v="266"/>
    <n v="49"/>
    <n v="45"/>
    <n v="13850"/>
    <n v="160673"/>
    <n v="5655"/>
    <n v="15455"/>
    <n v="3082"/>
    <n v="4215"/>
    <n v="13992"/>
    <n v="5940"/>
    <n v="2909"/>
    <n v="3099"/>
    <n v="1844"/>
    <n v="15407"/>
    <n v="248294291.78"/>
    <n v="552"/>
    <n v="857"/>
    <n v="943"/>
    <n v="99"/>
    <n v="42"/>
    <n v="50"/>
    <n v="11"/>
    <n v="11"/>
    <m/>
    <m/>
    <m/>
    <m/>
    <m/>
    <m/>
    <m/>
    <m/>
    <m/>
    <m/>
    <m/>
    <m/>
    <m/>
    <m/>
    <m/>
    <m/>
    <m/>
  </r>
  <r>
    <x v="0"/>
    <n v="27"/>
    <s v="TAB"/>
    <x v="26"/>
    <s v="2021-2022"/>
    <x v="1"/>
    <n v="5431"/>
    <n v="2038"/>
    <n v="3393"/>
    <n v="43745"/>
    <n v="90"/>
    <n v="27"/>
    <n v="21"/>
    <n v="4981"/>
    <n v="134923"/>
    <n v="2039"/>
    <n v="5252"/>
    <n v="1404"/>
    <n v="288"/>
    <n v="4943"/>
    <n v="2062"/>
    <n v="1356"/>
    <n v="1487"/>
    <n v="1462"/>
    <n v="5431"/>
    <n v="125298553.3"/>
    <n v="295"/>
    <n v="484"/>
    <n v="27"/>
    <n v="19"/>
    <n v="88"/>
    <n v="110"/>
    <n v="53"/>
    <n v="53"/>
    <m/>
    <m/>
    <m/>
    <m/>
    <m/>
    <m/>
    <m/>
    <m/>
    <m/>
    <m/>
    <m/>
    <m/>
    <m/>
    <m/>
    <m/>
    <m/>
    <m/>
  </r>
  <r>
    <x v="0"/>
    <n v="28"/>
    <s v="TAMPS"/>
    <x v="27"/>
    <s v="2021-2022"/>
    <x v="1"/>
    <n v="6916"/>
    <n v="2568"/>
    <n v="4348"/>
    <n v="55743"/>
    <n v="164"/>
    <n v="29"/>
    <n v="43"/>
    <n v="6422"/>
    <n v="188646"/>
    <n v="2764"/>
    <n v="7597"/>
    <n v="1875"/>
    <n v="849"/>
    <n v="6748"/>
    <n v="3183"/>
    <n v="1780"/>
    <n v="1904"/>
    <n v="1898"/>
    <n v="6916"/>
    <n v="190490914.06"/>
    <n v="368"/>
    <n v="1077"/>
    <n v="2941"/>
    <n v="96"/>
    <n v="95"/>
    <n v="103"/>
    <n v="47"/>
    <n v="47"/>
    <n v="22"/>
    <m/>
    <m/>
    <m/>
    <m/>
    <m/>
    <m/>
    <m/>
    <m/>
    <m/>
    <m/>
    <m/>
    <m/>
    <m/>
    <m/>
    <m/>
    <m/>
  </r>
  <r>
    <x v="0"/>
    <n v="29"/>
    <s v="TLAX"/>
    <x v="28"/>
    <s v="2021-2022"/>
    <x v="1"/>
    <n v="3146"/>
    <n v="1121"/>
    <n v="2025"/>
    <n v="24231"/>
    <n v="49"/>
    <n v="18"/>
    <n v="15"/>
    <n v="2953"/>
    <n v="74880"/>
    <n v="1206"/>
    <n v="3179"/>
    <n v="789"/>
    <n v="328"/>
    <n v="2908"/>
    <n v="1170"/>
    <n v="765"/>
    <n v="855"/>
    <n v="820"/>
    <n v="3146"/>
    <n v="48788326"/>
    <n v="180"/>
    <n v="455"/>
    <n v="0"/>
    <n v="126"/>
    <n v="17"/>
    <n v="20"/>
    <n v="7"/>
    <n v="0"/>
    <m/>
    <m/>
    <m/>
    <m/>
    <m/>
    <m/>
    <m/>
    <m/>
    <m/>
    <m/>
    <m/>
    <m/>
    <m/>
    <m/>
    <m/>
    <m/>
    <m/>
  </r>
  <r>
    <x v="0"/>
    <n v="30"/>
    <s v="VER"/>
    <x v="29"/>
    <s v="2021-2022"/>
    <x v="1"/>
    <n v="11461"/>
    <n v="4401"/>
    <n v="7060"/>
    <n v="119949"/>
    <n v="172"/>
    <n v="44"/>
    <n v="74"/>
    <n v="10631"/>
    <n v="432659"/>
    <n v="5251"/>
    <n v="10340"/>
    <n v="2477"/>
    <n v="1205"/>
    <n v="9959"/>
    <n v="3279"/>
    <n v="2432"/>
    <n v="2333"/>
    <n v="2161"/>
    <n v="11461"/>
    <n v="263259835"/>
    <n v="565"/>
    <n v="1543"/>
    <n v="4605"/>
    <n v="31"/>
    <n v="69"/>
    <n v="79"/>
    <n v="435"/>
    <n v="424"/>
    <n v="396"/>
    <m/>
    <m/>
    <m/>
    <m/>
    <m/>
    <m/>
    <m/>
    <m/>
    <m/>
    <m/>
    <m/>
    <m/>
    <m/>
    <m/>
    <m/>
    <m/>
  </r>
  <r>
    <x v="0"/>
    <n v="31"/>
    <s v="YUC"/>
    <x v="30"/>
    <s v="2021-2022"/>
    <x v="1"/>
    <n v="5289"/>
    <n v="1994"/>
    <n v="3295"/>
    <n v="34755"/>
    <n v="69"/>
    <n v="14"/>
    <n v="18"/>
    <n v="4281"/>
    <n v="114433"/>
    <n v="2180"/>
    <n v="5397"/>
    <n v="973"/>
    <n v="1559"/>
    <n v="4646"/>
    <n v="1915"/>
    <n v="929"/>
    <n v="1234"/>
    <n v="998"/>
    <n v="5289"/>
    <n v="125424372"/>
    <n v="264"/>
    <n v="484"/>
    <n v="4243"/>
    <n v="205"/>
    <n v="153"/>
    <n v="261"/>
    <n v="837"/>
    <n v="812"/>
    <m/>
    <m/>
    <m/>
    <m/>
    <m/>
    <m/>
    <m/>
    <m/>
    <m/>
    <m/>
    <m/>
    <m/>
    <m/>
    <m/>
    <m/>
    <m/>
    <m/>
  </r>
  <r>
    <x v="0"/>
    <n v="32"/>
    <s v="ZAC"/>
    <x v="31"/>
    <s v="2021-2022"/>
    <x v="1"/>
    <n v="1419"/>
    <n v="656"/>
    <n v="763"/>
    <n v="27155"/>
    <n v="60"/>
    <n v="21"/>
    <n v="7"/>
    <n v="1162"/>
    <n v="91049"/>
    <n v="719"/>
    <n v="1312"/>
    <n v="249"/>
    <n v="403"/>
    <n v="1067"/>
    <n v="619"/>
    <n v="223"/>
    <n v="290"/>
    <n v="284"/>
    <n v="1419"/>
    <n v="52455567"/>
    <n v="79"/>
    <n v="197"/>
    <n v="452"/>
    <n v="129"/>
    <n v="61"/>
    <n v="61"/>
    <n v="0"/>
    <n v="0"/>
    <m/>
    <m/>
    <m/>
    <m/>
    <m/>
    <m/>
    <m/>
    <m/>
    <m/>
    <m/>
    <m/>
    <m/>
    <m/>
    <m/>
    <m/>
    <m/>
    <m/>
  </r>
  <r>
    <x v="2"/>
    <n v="33"/>
    <s v="OTRO"/>
    <x v="32"/>
    <s v="2021-2022"/>
    <x v="1"/>
    <m/>
    <m/>
    <m/>
    <m/>
    <m/>
    <m/>
    <m/>
    <m/>
    <m/>
    <m/>
    <m/>
    <m/>
    <m/>
    <m/>
    <m/>
    <m/>
    <m/>
    <m/>
    <m/>
    <m/>
    <m/>
    <m/>
    <m/>
    <m/>
    <m/>
    <m/>
    <n v="448"/>
    <n v="443"/>
    <m/>
    <m/>
    <m/>
    <m/>
    <m/>
    <m/>
    <m/>
    <m/>
    <m/>
    <m/>
    <m/>
    <m/>
    <m/>
    <m/>
    <m/>
    <m/>
    <m/>
  </r>
  <r>
    <x v="1"/>
    <n v="0"/>
    <s v="ON"/>
    <x v="33"/>
    <s v="2021-2022"/>
    <x v="1"/>
    <m/>
    <m/>
    <m/>
    <m/>
    <m/>
    <m/>
    <m/>
    <m/>
    <m/>
    <m/>
    <m/>
    <m/>
    <m/>
    <m/>
    <m/>
    <m/>
    <m/>
    <m/>
    <m/>
    <m/>
    <m/>
    <m/>
    <n v="769"/>
    <m/>
    <m/>
    <m/>
    <n v="2785"/>
    <n v="2773"/>
    <m/>
    <n v="461057.18076000002"/>
    <n v="1569932.3870000001"/>
    <n v="1597687.4310000001"/>
    <n v="1609932.3870000001"/>
    <n v="1569932.3870000001"/>
    <n v="1569932.3870000001"/>
    <n v="1597687.4310000001"/>
    <n v="1609932.3870000001"/>
    <n v="0"/>
    <n v="0"/>
    <n v="27755.044000000002"/>
    <n v="1597687.4310000001"/>
    <n v="27668.057000000001"/>
    <n v="40000"/>
    <n v="1422248.821"/>
    <n v="1457643.3670000001"/>
  </r>
  <r>
    <x v="0"/>
    <n v="1"/>
    <s v="AGS"/>
    <x v="0"/>
    <s v="2012-2013"/>
    <x v="2"/>
    <n v="4876"/>
    <n v="1859"/>
    <n v="3017"/>
    <n v="20398"/>
    <n v="60"/>
    <n v="14"/>
    <n v="14"/>
    <n v="4112"/>
    <n v="74697.646290988239"/>
    <n v="4668"/>
    <n v="4767"/>
    <n v="1103"/>
    <m/>
    <m/>
    <n v="1624"/>
    <n v="963"/>
    <n v="944"/>
    <n v="909"/>
    <n v="4876"/>
    <n v="48953729"/>
    <n v="288"/>
    <n v="403"/>
    <n v="6562"/>
    <n v="164"/>
    <m/>
    <m/>
    <m/>
    <m/>
    <m/>
    <m/>
    <m/>
    <m/>
    <m/>
    <m/>
    <m/>
    <m/>
    <m/>
    <m/>
    <m/>
    <m/>
    <m/>
    <m/>
    <m/>
    <m/>
    <m/>
  </r>
  <r>
    <x v="0"/>
    <n v="2"/>
    <s v="BC"/>
    <x v="1"/>
    <s v="2012-2013"/>
    <x v="2"/>
    <n v="8368"/>
    <n v="3424"/>
    <n v="4944"/>
    <n v="49802"/>
    <n v="119"/>
    <n v="21"/>
    <n v="25"/>
    <n v="6792"/>
    <n v="192090.84815481934"/>
    <n v="4392"/>
    <n v="8361"/>
    <n v="1726"/>
    <m/>
    <m/>
    <n v="3324"/>
    <n v="1526"/>
    <n v="1452"/>
    <n v="1402"/>
    <n v="8368"/>
    <n v="107428039"/>
    <n v="404"/>
    <n v="696"/>
    <n v="20418"/>
    <n v="6"/>
    <m/>
    <m/>
    <m/>
    <m/>
    <n v="2528"/>
    <m/>
    <m/>
    <m/>
    <m/>
    <m/>
    <m/>
    <m/>
    <m/>
    <m/>
    <m/>
    <m/>
    <m/>
    <m/>
    <m/>
    <m/>
    <m/>
  </r>
  <r>
    <x v="0"/>
    <n v="3"/>
    <s v="BCS"/>
    <x v="2"/>
    <s v="2012-2013"/>
    <x v="2"/>
    <n v="1902"/>
    <n v="858"/>
    <n v="1044"/>
    <n v="10312"/>
    <n v="29"/>
    <n v="5"/>
    <n v="2"/>
    <n v="1482"/>
    <n v="37800.625728817657"/>
    <n v="1173"/>
    <n v="1691"/>
    <n v="450"/>
    <m/>
    <m/>
    <n v="813"/>
    <n v="420"/>
    <n v="361"/>
    <n v="337"/>
    <n v="1902"/>
    <n v="26873657"/>
    <n v="86"/>
    <n v="217"/>
    <n v="3026"/>
    <n v="0"/>
    <m/>
    <m/>
    <m/>
    <m/>
    <m/>
    <m/>
    <m/>
    <m/>
    <m/>
    <m/>
    <m/>
    <m/>
    <m/>
    <m/>
    <m/>
    <m/>
    <m/>
    <m/>
    <m/>
    <m/>
    <m/>
  </r>
  <r>
    <x v="0"/>
    <n v="4"/>
    <s v="CAMP"/>
    <x v="3"/>
    <s v="2012-2013"/>
    <x v="2"/>
    <n v="1864"/>
    <n v="802"/>
    <n v="1062"/>
    <n v="12415"/>
    <n v="37"/>
    <n v="8"/>
    <n v="14"/>
    <n v="1334"/>
    <n v="49910.405898190787"/>
    <n v="1018"/>
    <n v="1773"/>
    <n v="323"/>
    <m/>
    <m/>
    <n v="701"/>
    <n v="274"/>
    <n v="268"/>
    <n v="256"/>
    <n v="1864"/>
    <n v="32707759"/>
    <n v="113"/>
    <n v="264"/>
    <n v="2301"/>
    <n v="68"/>
    <m/>
    <m/>
    <m/>
    <m/>
    <m/>
    <m/>
    <m/>
    <m/>
    <m/>
    <m/>
    <m/>
    <m/>
    <m/>
    <m/>
    <m/>
    <m/>
    <m/>
    <m/>
    <m/>
    <m/>
    <m/>
  </r>
  <r>
    <x v="0"/>
    <n v="7"/>
    <s v="CHIAP"/>
    <x v="4"/>
    <s v="2012-2013"/>
    <x v="2"/>
    <n v="7730"/>
    <n v="2882"/>
    <n v="4848"/>
    <n v="85110"/>
    <n v="118"/>
    <n v="16"/>
    <n v="42"/>
    <n v="5618"/>
    <n v="336550.24744312256"/>
    <n v="4214"/>
    <n v="7326"/>
    <n v="1395"/>
    <m/>
    <m/>
    <n v="2390"/>
    <n v="1305"/>
    <n v="1230"/>
    <n v="1169"/>
    <n v="7730"/>
    <n v="122421262"/>
    <n v="479"/>
    <n v="666"/>
    <n v="5593"/>
    <n v="0"/>
    <m/>
    <m/>
    <m/>
    <m/>
    <m/>
    <m/>
    <m/>
    <m/>
    <m/>
    <m/>
    <m/>
    <m/>
    <m/>
    <m/>
    <m/>
    <m/>
    <m/>
    <m/>
    <m/>
    <m/>
    <m/>
  </r>
  <r>
    <x v="0"/>
    <n v="8"/>
    <s v="CHIH"/>
    <x v="5"/>
    <s v="2012-2013"/>
    <x v="2"/>
    <n v="9183"/>
    <n v="4195"/>
    <n v="4988"/>
    <n v="50851"/>
    <n v="136"/>
    <n v="20"/>
    <n v="36"/>
    <n v="7611"/>
    <n v="201025.68902505681"/>
    <n v="5056"/>
    <n v="8606"/>
    <n v="1685"/>
    <m/>
    <m/>
    <n v="3172"/>
    <n v="1499"/>
    <n v="1626"/>
    <n v="1561"/>
    <n v="9183"/>
    <n v="117528205"/>
    <n v="573"/>
    <n v="866"/>
    <n v="17438"/>
    <n v="429"/>
    <m/>
    <m/>
    <m/>
    <m/>
    <n v="1190"/>
    <m/>
    <m/>
    <m/>
    <m/>
    <m/>
    <m/>
    <m/>
    <m/>
    <m/>
    <m/>
    <m/>
    <m/>
    <m/>
    <m/>
    <m/>
    <m/>
  </r>
  <r>
    <x v="1"/>
    <n v="9"/>
    <s v="CDMX"/>
    <x v="6"/>
    <s v="2012-2013"/>
    <x v="2"/>
    <n v="43673"/>
    <n v="17932"/>
    <n v="25741"/>
    <n v="130411"/>
    <n v="537"/>
    <n v="95"/>
    <n v="175"/>
    <n v="32353"/>
    <n v="423138.95799915184"/>
    <n v="23573"/>
    <n v="44765"/>
    <n v="8530"/>
    <m/>
    <m/>
    <n v="19638"/>
    <n v="7474"/>
    <n v="7037"/>
    <n v="4977"/>
    <m/>
    <m/>
    <n v="2203"/>
    <n v="3057"/>
    <n v="22808"/>
    <n v="201"/>
    <m/>
    <m/>
    <m/>
    <m/>
    <m/>
    <m/>
    <m/>
    <m/>
    <m/>
    <m/>
    <m/>
    <m/>
    <m/>
    <m/>
    <m/>
    <m/>
    <m/>
    <m/>
    <m/>
    <m/>
    <m/>
  </r>
  <r>
    <x v="0"/>
    <n v="5"/>
    <s v="COAH"/>
    <x v="7"/>
    <s v="2012-2013"/>
    <x v="2"/>
    <n v="8071"/>
    <n v="3210"/>
    <n v="4861"/>
    <n v="40260"/>
    <n v="133"/>
    <n v="31"/>
    <n v="42"/>
    <n v="7126"/>
    <n v="162290.780422715"/>
    <n v="5111"/>
    <n v="7911"/>
    <n v="1734"/>
    <m/>
    <m/>
    <n v="3118"/>
    <n v="1594"/>
    <n v="1643"/>
    <n v="1635"/>
    <n v="8071"/>
    <n v="116866888"/>
    <n v="438"/>
    <n v="774"/>
    <n v="13884"/>
    <n v="104"/>
    <m/>
    <m/>
    <m/>
    <m/>
    <m/>
    <m/>
    <m/>
    <m/>
    <m/>
    <m/>
    <m/>
    <m/>
    <m/>
    <m/>
    <m/>
    <m/>
    <m/>
    <m/>
    <m/>
    <m/>
    <m/>
  </r>
  <r>
    <x v="0"/>
    <n v="6"/>
    <s v="COL"/>
    <x v="8"/>
    <s v="2012-2013"/>
    <x v="2"/>
    <n v="1864"/>
    <n v="837"/>
    <n v="1027"/>
    <n v="9463"/>
    <n v="33"/>
    <n v="5"/>
    <n v="10"/>
    <n v="1145"/>
    <n v="37652.050005981437"/>
    <n v="1083"/>
    <n v="1765"/>
    <n v="324"/>
    <m/>
    <m/>
    <n v="659"/>
    <n v="299"/>
    <n v="239"/>
    <n v="211"/>
    <n v="1864"/>
    <n v="33361684"/>
    <n v="131"/>
    <n v="258"/>
    <n v="4285"/>
    <n v="25"/>
    <m/>
    <m/>
    <m/>
    <m/>
    <m/>
    <m/>
    <m/>
    <m/>
    <m/>
    <m/>
    <m/>
    <m/>
    <m/>
    <m/>
    <m/>
    <m/>
    <m/>
    <m/>
    <m/>
    <m/>
    <m/>
  </r>
  <r>
    <x v="0"/>
    <n v="10"/>
    <s v="DGO"/>
    <x v="9"/>
    <s v="2012-2013"/>
    <x v="2"/>
    <n v="2386"/>
    <n v="1103"/>
    <n v="1283"/>
    <n v="26707"/>
    <n v="46"/>
    <n v="14"/>
    <n v="12"/>
    <n v="1984"/>
    <n v="103877.16130392933"/>
    <n v="1409"/>
    <n v="2350"/>
    <n v="420"/>
    <m/>
    <m/>
    <n v="1057"/>
    <n v="389"/>
    <n v="414"/>
    <n v="346"/>
    <n v="2386"/>
    <n v="31954556"/>
    <n v="163"/>
    <n v="254"/>
    <n v="9014"/>
    <n v="63"/>
    <m/>
    <m/>
    <m/>
    <m/>
    <m/>
    <m/>
    <m/>
    <m/>
    <m/>
    <m/>
    <m/>
    <m/>
    <m/>
    <m/>
    <m/>
    <m/>
    <m/>
    <m/>
    <m/>
    <m/>
    <m/>
  </r>
  <r>
    <x v="0"/>
    <n v="11"/>
    <s v="GTO"/>
    <x v="10"/>
    <s v="2012-2013"/>
    <x v="2"/>
    <n v="16619"/>
    <n v="6715"/>
    <n v="9904"/>
    <n v="90823"/>
    <n v="218"/>
    <n v="51"/>
    <n v="74"/>
    <n v="14073"/>
    <n v="350740.06544113893"/>
    <n v="10612"/>
    <n v="15961"/>
    <n v="3801"/>
    <m/>
    <m/>
    <n v="5966"/>
    <n v="3545"/>
    <n v="3234"/>
    <n v="3066"/>
    <n v="16619"/>
    <n v="186737077"/>
    <n v="942"/>
    <n v="1787"/>
    <n v="33636"/>
    <n v="233"/>
    <m/>
    <m/>
    <m/>
    <m/>
    <n v="9342"/>
    <m/>
    <m/>
    <m/>
    <m/>
    <m/>
    <m/>
    <m/>
    <m/>
    <m/>
    <m/>
    <m/>
    <m/>
    <m/>
    <m/>
    <m/>
    <m/>
  </r>
  <r>
    <x v="0"/>
    <n v="12"/>
    <s v="GRO"/>
    <x v="11"/>
    <s v="2012-2013"/>
    <x v="2"/>
    <n v="7047"/>
    <n v="2844"/>
    <n v="4203"/>
    <n v="59586"/>
    <n v="117"/>
    <n v="30"/>
    <n v="38"/>
    <n v="5657"/>
    <n v="229727.1363150301"/>
    <n v="4087"/>
    <n v="7093"/>
    <n v="1393"/>
    <m/>
    <m/>
    <n v="2925"/>
    <n v="1318"/>
    <n v="881"/>
    <n v="733"/>
    <n v="7047"/>
    <n v="101478941"/>
    <n v="334"/>
    <n v="509"/>
    <n v="4454"/>
    <n v="99"/>
    <m/>
    <m/>
    <m/>
    <m/>
    <m/>
    <m/>
    <m/>
    <m/>
    <m/>
    <m/>
    <m/>
    <m/>
    <m/>
    <m/>
    <m/>
    <m/>
    <m/>
    <m/>
    <m/>
    <m/>
    <m/>
  </r>
  <r>
    <x v="0"/>
    <n v="13"/>
    <s v="HGO"/>
    <x v="12"/>
    <s v="2012-2013"/>
    <x v="2"/>
    <n v="3690"/>
    <n v="1523"/>
    <n v="2167"/>
    <n v="47292"/>
    <n v="60"/>
    <n v="28"/>
    <n v="23"/>
    <n v="2872"/>
    <n v="160589.72081369814"/>
    <n v="1954"/>
    <n v="3694"/>
    <n v="787"/>
    <m/>
    <m/>
    <n v="1668"/>
    <n v="719"/>
    <n v="750"/>
    <n v="744"/>
    <n v="3690"/>
    <n v="49863435"/>
    <n v="217"/>
    <n v="347"/>
    <n v="2326"/>
    <n v="86"/>
    <m/>
    <m/>
    <m/>
    <m/>
    <m/>
    <m/>
    <m/>
    <m/>
    <m/>
    <m/>
    <m/>
    <m/>
    <m/>
    <m/>
    <m/>
    <m/>
    <m/>
    <m/>
    <m/>
    <m/>
    <m/>
  </r>
  <r>
    <x v="0"/>
    <n v="14"/>
    <s v="JAL"/>
    <x v="13"/>
    <s v="2012-2013"/>
    <x v="2"/>
    <n v="15407"/>
    <n v="6114"/>
    <n v="9293"/>
    <n v="106909"/>
    <n v="249"/>
    <n v="37"/>
    <n v="70"/>
    <n v="11805"/>
    <n v="435752.90556573274"/>
    <n v="10075"/>
    <n v="15218"/>
    <n v="3332"/>
    <m/>
    <m/>
    <n v="5916"/>
    <n v="2987"/>
    <n v="3123"/>
    <n v="3033"/>
    <n v="15407"/>
    <n v="201017410"/>
    <n v="885"/>
    <n v="1888"/>
    <n v="34114"/>
    <n v="580"/>
    <m/>
    <m/>
    <m/>
    <m/>
    <n v="479"/>
    <m/>
    <m/>
    <m/>
    <m/>
    <m/>
    <m/>
    <m/>
    <m/>
    <m/>
    <m/>
    <m/>
    <m/>
    <m/>
    <m/>
    <m/>
    <m/>
  </r>
  <r>
    <x v="0"/>
    <n v="15"/>
    <s v="MEX"/>
    <x v="14"/>
    <s v="2012-2013"/>
    <x v="2"/>
    <n v="48217"/>
    <n v="19660"/>
    <n v="28557"/>
    <n v="242886"/>
    <n v="723"/>
    <n v="133"/>
    <n v="217"/>
    <n v="37457"/>
    <n v="905523.85712835006"/>
    <n v="25023"/>
    <n v="48565"/>
    <n v="10484"/>
    <m/>
    <m/>
    <n v="22509"/>
    <n v="9088"/>
    <n v="8630"/>
    <n v="6876"/>
    <n v="48217"/>
    <n v="592551256"/>
    <n v="2613"/>
    <n v="3996"/>
    <n v="44733"/>
    <n v="670"/>
    <m/>
    <m/>
    <m/>
    <m/>
    <n v="2000"/>
    <m/>
    <m/>
    <m/>
    <m/>
    <m/>
    <m/>
    <m/>
    <m/>
    <m/>
    <m/>
    <m/>
    <m/>
    <m/>
    <m/>
    <m/>
    <m/>
  </r>
  <r>
    <x v="0"/>
    <n v="16"/>
    <s v="MICH"/>
    <x v="15"/>
    <s v="2012-2013"/>
    <x v="2"/>
    <n v="12293"/>
    <n v="5099"/>
    <n v="7194"/>
    <n v="63423"/>
    <n v="237"/>
    <n v="48"/>
    <n v="62"/>
    <n v="9265"/>
    <n v="270428.32494369015"/>
    <n v="6739"/>
    <n v="12071"/>
    <n v="2619"/>
    <m/>
    <m/>
    <n v="4986"/>
    <n v="2285"/>
    <n v="2112"/>
    <n v="1958"/>
    <n v="12293"/>
    <n v="163225447"/>
    <n v="490"/>
    <n v="940"/>
    <n v="7708"/>
    <n v="150"/>
    <m/>
    <m/>
    <m/>
    <m/>
    <m/>
    <m/>
    <m/>
    <m/>
    <m/>
    <m/>
    <m/>
    <m/>
    <m/>
    <m/>
    <m/>
    <m/>
    <m/>
    <m/>
    <m/>
    <m/>
    <m/>
  </r>
  <r>
    <x v="0"/>
    <n v="17"/>
    <s v="MOR"/>
    <x v="16"/>
    <s v="2012-2013"/>
    <x v="2"/>
    <n v="5012"/>
    <n v="2002"/>
    <n v="3010"/>
    <n v="30555"/>
    <n v="60"/>
    <n v="17"/>
    <n v="12"/>
    <n v="4234"/>
    <n v="104617.93567797635"/>
    <n v="3222"/>
    <n v="5052"/>
    <n v="1155"/>
    <m/>
    <m/>
    <n v="2032"/>
    <n v="1059"/>
    <n v="962"/>
    <n v="809"/>
    <n v="5012"/>
    <n v="56023818"/>
    <n v="252"/>
    <n v="515"/>
    <n v="5342"/>
    <n v="8"/>
    <m/>
    <m/>
    <m/>
    <m/>
    <m/>
    <m/>
    <m/>
    <m/>
    <m/>
    <m/>
    <m/>
    <m/>
    <m/>
    <m/>
    <m/>
    <m/>
    <m/>
    <m/>
    <m/>
    <m/>
    <m/>
  </r>
  <r>
    <x v="0"/>
    <n v="18"/>
    <s v="NAY"/>
    <x v="17"/>
    <s v="2012-2013"/>
    <x v="2"/>
    <n v="3043"/>
    <n v="1267"/>
    <n v="1776"/>
    <n v="17116"/>
    <n v="35"/>
    <n v="7"/>
    <n v="7"/>
    <n v="2756"/>
    <n v="65043.64849579391"/>
    <n v="1645"/>
    <n v="3029"/>
    <n v="727"/>
    <m/>
    <m/>
    <n v="1259"/>
    <n v="692"/>
    <n v="504"/>
    <n v="488"/>
    <n v="3043"/>
    <n v="42086753"/>
    <n v="122"/>
    <n v="334"/>
    <n v="1997"/>
    <n v="1"/>
    <m/>
    <m/>
    <m/>
    <m/>
    <m/>
    <m/>
    <m/>
    <m/>
    <m/>
    <m/>
    <m/>
    <m/>
    <m/>
    <m/>
    <m/>
    <m/>
    <m/>
    <m/>
    <m/>
    <m/>
    <m/>
  </r>
  <r>
    <x v="0"/>
    <n v="19"/>
    <s v="NL"/>
    <x v="18"/>
    <s v="2012-2013"/>
    <x v="2"/>
    <n v="16396"/>
    <n v="7296"/>
    <n v="9100"/>
    <n v="71017"/>
    <n v="184"/>
    <n v="49"/>
    <n v="60"/>
    <n v="13599"/>
    <n v="256685.14683603484"/>
    <n v="9824"/>
    <n v="15337"/>
    <n v="3317"/>
    <m/>
    <m/>
    <n v="6548"/>
    <n v="3069"/>
    <n v="2744"/>
    <n v="2658"/>
    <n v="16396"/>
    <n v="163658445"/>
    <n v="880"/>
    <n v="1827"/>
    <n v="57312"/>
    <n v="1562"/>
    <m/>
    <m/>
    <m/>
    <m/>
    <n v="847"/>
    <m/>
    <m/>
    <m/>
    <m/>
    <m/>
    <m/>
    <m/>
    <m/>
    <m/>
    <m/>
    <m/>
    <m/>
    <m/>
    <m/>
    <m/>
    <m/>
  </r>
  <r>
    <x v="1"/>
    <n v="20"/>
    <s v="OAX"/>
    <x v="19"/>
    <s v="2012-2013"/>
    <x v="2"/>
    <n v="6750"/>
    <n v="2691"/>
    <n v="4059"/>
    <n v="64635"/>
    <n v="108"/>
    <n v="12"/>
    <n v="32"/>
    <n v="5279"/>
    <n v="244700.14959654724"/>
    <n v="3569"/>
    <n v="6489"/>
    <n v="1288"/>
    <m/>
    <m/>
    <n v="2520"/>
    <n v="1152"/>
    <n v="1231"/>
    <n v="1041"/>
    <m/>
    <m/>
    <n v="405"/>
    <n v="460"/>
    <n v="2163"/>
    <n v="10"/>
    <m/>
    <m/>
    <m/>
    <m/>
    <m/>
    <m/>
    <m/>
    <m/>
    <m/>
    <m/>
    <m/>
    <m/>
    <m/>
    <m/>
    <m/>
    <m/>
    <m/>
    <m/>
    <m/>
    <m/>
    <m/>
  </r>
  <r>
    <x v="0"/>
    <n v="21"/>
    <s v="PUE"/>
    <x v="20"/>
    <s v="2012-2013"/>
    <x v="2"/>
    <n v="7539"/>
    <n v="2816"/>
    <n v="4723"/>
    <n v="98190"/>
    <n v="144"/>
    <n v="39"/>
    <n v="55"/>
    <n v="6383"/>
    <n v="368172.44746360031"/>
    <n v="4459"/>
    <n v="7684"/>
    <n v="1841"/>
    <m/>
    <m/>
    <n v="3020"/>
    <n v="1621"/>
    <n v="1588"/>
    <n v="1530"/>
    <n v="7539"/>
    <n v="117736744"/>
    <n v="411"/>
    <n v="1035"/>
    <n v="9486"/>
    <n v="37"/>
    <m/>
    <m/>
    <m/>
    <m/>
    <m/>
    <m/>
    <m/>
    <m/>
    <m/>
    <m/>
    <m/>
    <m/>
    <m/>
    <m/>
    <m/>
    <m/>
    <m/>
    <m/>
    <m/>
    <m/>
    <m/>
  </r>
  <r>
    <x v="0"/>
    <n v="22"/>
    <s v="QRO"/>
    <x v="21"/>
    <s v="2012-2013"/>
    <x v="2"/>
    <n v="3014"/>
    <n v="1219"/>
    <n v="1795"/>
    <n v="28090"/>
    <n v="44"/>
    <n v="9"/>
    <n v="21"/>
    <n v="2530"/>
    <n v="113259.35666997568"/>
    <n v="2367"/>
    <n v="2914"/>
    <n v="682"/>
    <m/>
    <m/>
    <n v="1063"/>
    <n v="606"/>
    <n v="674"/>
    <n v="626"/>
    <n v="3014"/>
    <n v="36057782"/>
    <n v="235"/>
    <n v="283"/>
    <n v="6562"/>
    <n v="83"/>
    <m/>
    <m/>
    <m/>
    <m/>
    <m/>
    <m/>
    <m/>
    <m/>
    <m/>
    <m/>
    <m/>
    <m/>
    <m/>
    <m/>
    <m/>
    <m/>
    <m/>
    <m/>
    <m/>
    <m/>
    <m/>
  </r>
  <r>
    <x v="0"/>
    <n v="23"/>
    <s v="QROO"/>
    <x v="22"/>
    <s v="2012-2013"/>
    <x v="2"/>
    <n v="8685"/>
    <n v="3687"/>
    <n v="4998"/>
    <n v="22070"/>
    <n v="104"/>
    <n v="16"/>
    <n v="29"/>
    <n v="6630"/>
    <n v="79915.394881891494"/>
    <n v="4757"/>
    <n v="8310"/>
    <n v="2143"/>
    <m/>
    <m/>
    <n v="3615"/>
    <n v="1943"/>
    <n v="1543"/>
    <n v="1453"/>
    <n v="8685"/>
    <n v="79228139"/>
    <n v="424"/>
    <n v="704"/>
    <n v="12321"/>
    <n v="16"/>
    <m/>
    <m/>
    <m/>
    <m/>
    <m/>
    <m/>
    <m/>
    <m/>
    <m/>
    <m/>
    <m/>
    <m/>
    <m/>
    <m/>
    <m/>
    <m/>
    <m/>
    <m/>
    <m/>
    <m/>
    <m/>
  </r>
  <r>
    <x v="0"/>
    <n v="24"/>
    <s v="SLP"/>
    <x v="23"/>
    <s v="2012-2013"/>
    <x v="2"/>
    <n v="5478"/>
    <n v="2196"/>
    <n v="3282"/>
    <n v="44949"/>
    <n v="84"/>
    <n v="24"/>
    <n v="28"/>
    <n v="4489"/>
    <n v="162721.95294879421"/>
    <n v="2938"/>
    <n v="5457"/>
    <n v="1063"/>
    <m/>
    <m/>
    <n v="2168"/>
    <n v="951"/>
    <n v="882"/>
    <n v="826"/>
    <n v="5478"/>
    <n v="68158288"/>
    <n v="341"/>
    <n v="445"/>
    <n v="10960"/>
    <n v="170"/>
    <m/>
    <m/>
    <m/>
    <m/>
    <m/>
    <m/>
    <m/>
    <m/>
    <m/>
    <m/>
    <m/>
    <m/>
    <m/>
    <m/>
    <m/>
    <m/>
    <m/>
    <m/>
    <m/>
    <m/>
    <m/>
  </r>
  <r>
    <x v="0"/>
    <n v="25"/>
    <s v="SIN"/>
    <x v="24"/>
    <s v="2012-2013"/>
    <x v="2"/>
    <n v="9564"/>
    <n v="3935"/>
    <n v="5629"/>
    <n v="45264"/>
    <n v="171"/>
    <n v="40"/>
    <n v="44"/>
    <n v="8117"/>
    <n v="166975.11134791601"/>
    <n v="4827"/>
    <n v="9080"/>
    <n v="2190"/>
    <m/>
    <m/>
    <n v="3176"/>
    <n v="2090"/>
    <n v="2057"/>
    <n v="2052"/>
    <n v="9564"/>
    <n v="173106212"/>
    <n v="590"/>
    <n v="957"/>
    <n v="11683"/>
    <n v="93"/>
    <m/>
    <m/>
    <m/>
    <m/>
    <m/>
    <m/>
    <m/>
    <m/>
    <m/>
    <m/>
    <m/>
    <m/>
    <m/>
    <m/>
    <m/>
    <m/>
    <m/>
    <m/>
    <m/>
    <m/>
    <m/>
  </r>
  <r>
    <x v="0"/>
    <n v="26"/>
    <s v="SON"/>
    <x v="25"/>
    <s v="2012-2013"/>
    <x v="2"/>
    <n v="12561"/>
    <n v="5124"/>
    <n v="7437"/>
    <n v="42230"/>
    <n v="223"/>
    <n v="45"/>
    <n v="60"/>
    <n v="10479"/>
    <n v="156315.86238266551"/>
    <n v="5531"/>
    <n v="13196"/>
    <n v="2333"/>
    <m/>
    <m/>
    <n v="5253"/>
    <n v="2121"/>
    <n v="2103"/>
    <n v="1881"/>
    <n v="12561"/>
    <n v="177838898"/>
    <n v="42"/>
    <n v="961"/>
    <n v="15470"/>
    <n v="101"/>
    <m/>
    <m/>
    <m/>
    <m/>
    <m/>
    <m/>
    <m/>
    <m/>
    <m/>
    <m/>
    <m/>
    <m/>
    <m/>
    <m/>
    <m/>
    <m/>
    <m/>
    <m/>
    <m/>
    <m/>
    <m/>
  </r>
  <r>
    <x v="0"/>
    <n v="27"/>
    <s v="TAB"/>
    <x v="26"/>
    <s v="2012-2013"/>
    <x v="2"/>
    <n v="5305"/>
    <n v="2213"/>
    <n v="3092"/>
    <n v="36810"/>
    <n v="76"/>
    <n v="24"/>
    <n v="26"/>
    <n v="4446"/>
    <n v="135006.4916160994"/>
    <n v="2330"/>
    <n v="5040"/>
    <n v="1220"/>
    <m/>
    <m/>
    <n v="2186"/>
    <n v="1080"/>
    <n v="1149"/>
    <n v="1121"/>
    <n v="5305"/>
    <n v="89213480"/>
    <n v="304"/>
    <n v="388"/>
    <n v="4008"/>
    <n v="0"/>
    <m/>
    <m/>
    <m/>
    <m/>
    <m/>
    <m/>
    <m/>
    <m/>
    <m/>
    <m/>
    <m/>
    <m/>
    <m/>
    <m/>
    <m/>
    <m/>
    <m/>
    <m/>
    <m/>
    <m/>
    <m/>
  </r>
  <r>
    <x v="0"/>
    <n v="28"/>
    <s v="TAMPS"/>
    <x v="27"/>
    <s v="2012-2013"/>
    <x v="2"/>
    <n v="8923"/>
    <n v="4147"/>
    <n v="4776"/>
    <n v="46139"/>
    <n v="140"/>
    <n v="25"/>
    <n v="47"/>
    <n v="7462"/>
    <n v="184782.07158093911"/>
    <n v="4907"/>
    <n v="8177"/>
    <n v="1926"/>
    <m/>
    <m/>
    <n v="3579"/>
    <n v="1817"/>
    <n v="1747"/>
    <n v="1715"/>
    <n v="8923"/>
    <n v="137343621"/>
    <n v="412"/>
    <n v="958"/>
    <n v="20257"/>
    <n v="622"/>
    <m/>
    <m/>
    <m/>
    <m/>
    <n v="15"/>
    <m/>
    <m/>
    <m/>
    <m/>
    <m/>
    <m/>
    <m/>
    <m/>
    <m/>
    <m/>
    <m/>
    <m/>
    <m/>
    <m/>
    <m/>
    <m/>
  </r>
  <r>
    <x v="0"/>
    <n v="29"/>
    <s v="TLAX"/>
    <x v="28"/>
    <s v="2012-2013"/>
    <x v="2"/>
    <n v="3109"/>
    <n v="1332"/>
    <n v="1777"/>
    <n v="23065"/>
    <n v="42"/>
    <n v="12"/>
    <n v="16"/>
    <n v="2569"/>
    <n v="72843.924734240776"/>
    <n v="1638"/>
    <n v="2587"/>
    <n v="621"/>
    <m/>
    <m/>
    <n v="985"/>
    <n v="571"/>
    <n v="573"/>
    <n v="569"/>
    <n v="3109"/>
    <n v="33240372"/>
    <n v="205"/>
    <n v="401"/>
    <n v="2039"/>
    <n v="7"/>
    <m/>
    <m/>
    <m/>
    <m/>
    <m/>
    <m/>
    <m/>
    <m/>
    <m/>
    <m/>
    <m/>
    <m/>
    <m/>
    <m/>
    <m/>
    <m/>
    <m/>
    <m/>
    <m/>
    <m/>
    <m/>
  </r>
  <r>
    <x v="0"/>
    <n v="30"/>
    <s v="VER"/>
    <x v="29"/>
    <s v="2012-2013"/>
    <x v="2"/>
    <n v="9255"/>
    <n v="3711"/>
    <n v="5544"/>
    <n v="119985"/>
    <n v="164"/>
    <n v="39"/>
    <n v="83"/>
    <n v="7867"/>
    <n v="459028.2415179275"/>
    <n v="5514"/>
    <n v="9257"/>
    <n v="2375"/>
    <m/>
    <m/>
    <n v="3772"/>
    <n v="2128"/>
    <n v="2317"/>
    <n v="2202"/>
    <n v="9255"/>
    <n v="177451974"/>
    <n v="589"/>
    <n v="1350"/>
    <n v="14349"/>
    <n v="280"/>
    <m/>
    <m/>
    <m/>
    <m/>
    <n v="552"/>
    <m/>
    <m/>
    <m/>
    <m/>
    <m/>
    <m/>
    <m/>
    <m/>
    <m/>
    <m/>
    <m/>
    <m/>
    <m/>
    <m/>
    <m/>
    <m/>
  </r>
  <r>
    <x v="0"/>
    <n v="31"/>
    <s v="YUC"/>
    <x v="30"/>
    <s v="2012-2013"/>
    <x v="2"/>
    <n v="4409"/>
    <n v="1708"/>
    <n v="2701"/>
    <n v="29066"/>
    <n v="56"/>
    <n v="10"/>
    <n v="16"/>
    <n v="3300"/>
    <n v="113961.53601094714"/>
    <n v="2684"/>
    <n v="4693"/>
    <n v="843"/>
    <m/>
    <m/>
    <n v="1718"/>
    <n v="774"/>
    <n v="871"/>
    <n v="770"/>
    <n v="4409"/>
    <n v="77263516"/>
    <n v="275"/>
    <n v="367"/>
    <n v="7244"/>
    <n v="183"/>
    <m/>
    <m/>
    <m/>
    <m/>
    <m/>
    <m/>
    <m/>
    <m/>
    <m/>
    <m/>
    <m/>
    <m/>
    <m/>
    <m/>
    <m/>
    <m/>
    <m/>
    <m/>
    <m/>
    <m/>
    <m/>
  </r>
  <r>
    <x v="0"/>
    <n v="32"/>
    <s v="ZAC"/>
    <x v="31"/>
    <s v="2012-2013"/>
    <x v="2"/>
    <n v="1722"/>
    <n v="767"/>
    <n v="955"/>
    <n v="23608"/>
    <n v="37"/>
    <n v="13"/>
    <n v="6"/>
    <n v="1325"/>
    <n v="91820.373265537899"/>
    <n v="934"/>
    <n v="1588"/>
    <n v="323"/>
    <m/>
    <m/>
    <n v="806"/>
    <n v="288"/>
    <n v="214"/>
    <n v="201"/>
    <n v="1722"/>
    <n v="32108696"/>
    <n v="95"/>
    <n v="155"/>
    <n v="2900"/>
    <n v="70"/>
    <m/>
    <m/>
    <m/>
    <m/>
    <m/>
    <m/>
    <m/>
    <m/>
    <m/>
    <m/>
    <m/>
    <m/>
    <m/>
    <m/>
    <m/>
    <m/>
    <m/>
    <m/>
    <m/>
    <m/>
    <m/>
  </r>
  <r>
    <x v="2"/>
    <n v="33"/>
    <s v="OTRO"/>
    <x v="32"/>
    <s v="2012-2013"/>
    <x v="2"/>
    <m/>
    <m/>
    <m/>
    <m/>
    <m/>
    <m/>
    <m/>
    <m/>
    <m/>
    <m/>
    <m/>
    <m/>
    <m/>
    <m/>
    <m/>
    <m/>
    <m/>
    <m/>
    <m/>
    <m/>
    <m/>
    <m/>
    <m/>
    <m/>
    <m/>
    <m/>
    <m/>
    <m/>
    <m/>
    <m/>
    <m/>
    <m/>
    <m/>
    <m/>
    <m/>
    <m/>
    <m/>
    <m/>
    <m/>
    <m/>
    <m/>
    <m/>
    <m/>
    <m/>
    <m/>
  </r>
  <r>
    <x v="1"/>
    <n v="0"/>
    <s v="ON"/>
    <x v="33"/>
    <s v="2012-2013"/>
    <x v="2"/>
    <m/>
    <m/>
    <m/>
    <m/>
    <m/>
    <m/>
    <m/>
    <m/>
    <m/>
    <m/>
    <m/>
    <m/>
    <m/>
    <m/>
    <m/>
    <m/>
    <m/>
    <m/>
    <m/>
    <m/>
    <m/>
    <m/>
    <m/>
    <m/>
    <m/>
    <m/>
    <m/>
    <m/>
    <m/>
    <n v="256402"/>
    <n v="1450045"/>
    <n v="1450045"/>
    <n v="1457806"/>
    <n v="1336007"/>
    <n v="1336007"/>
    <n v="1334976.8"/>
    <n v="1339687.2"/>
    <n v="115068.5"/>
    <n v="118119"/>
    <n v="114038"/>
    <n v="1450045.3"/>
    <n v="113831"/>
    <n v="121799"/>
    <n v="1450045"/>
    <n v="1457806"/>
  </r>
  <r>
    <x v="0"/>
    <n v="1"/>
    <s v="AGS"/>
    <x v="0"/>
    <s v="2013-2014"/>
    <x v="3"/>
    <n v="4724"/>
    <n v="1749"/>
    <n v="2975"/>
    <n v="22184"/>
    <n v="84"/>
    <n v="13"/>
    <n v="19"/>
    <n v="3957"/>
    <n v="75231.71103324533"/>
    <n v="3860"/>
    <n v="4876"/>
    <n v="1235"/>
    <m/>
    <m/>
    <n v="1791"/>
    <n v="1076"/>
    <n v="963"/>
    <n v="848"/>
    <n v="4724"/>
    <n v="53064138"/>
    <n v="285"/>
    <n v="441"/>
    <n v="5889"/>
    <n v="545"/>
    <m/>
    <m/>
    <m/>
    <n v="327"/>
    <m/>
    <m/>
    <m/>
    <m/>
    <m/>
    <m/>
    <m/>
    <m/>
    <m/>
    <m/>
    <m/>
    <m/>
    <m/>
    <m/>
    <m/>
    <m/>
    <m/>
  </r>
  <r>
    <x v="0"/>
    <n v="2"/>
    <s v="BC"/>
    <x v="1"/>
    <s v="2013-2014"/>
    <x v="3"/>
    <n v="7923"/>
    <n v="3120"/>
    <n v="4803"/>
    <n v="50847"/>
    <n v="118"/>
    <n v="16"/>
    <n v="25"/>
    <n v="6510"/>
    <n v="192570.33030696079"/>
    <n v="3981"/>
    <n v="8368"/>
    <n v="1836"/>
    <m/>
    <m/>
    <n v="3518"/>
    <n v="1654"/>
    <n v="1526"/>
    <n v="1480"/>
    <n v="7923"/>
    <n v="113761602"/>
    <n v="394"/>
    <n v="714"/>
    <n v="11950"/>
    <n v="183"/>
    <m/>
    <m/>
    <m/>
    <n v="0"/>
    <n v="1693"/>
    <m/>
    <m/>
    <m/>
    <m/>
    <m/>
    <m/>
    <m/>
    <m/>
    <m/>
    <m/>
    <m/>
    <m/>
    <m/>
    <m/>
    <m/>
    <m/>
  </r>
  <r>
    <x v="0"/>
    <n v="3"/>
    <s v="BCS"/>
    <x v="2"/>
    <s v="2013-2014"/>
    <x v="3"/>
    <n v="2058"/>
    <n v="884"/>
    <n v="1174"/>
    <n v="10507"/>
    <n v="29"/>
    <n v="7"/>
    <n v="2"/>
    <n v="1587"/>
    <n v="38630.89366289071"/>
    <n v="1399"/>
    <n v="1902"/>
    <n v="411"/>
    <m/>
    <m/>
    <n v="724"/>
    <n v="366"/>
    <n v="420"/>
    <n v="394"/>
    <n v="2058"/>
    <n v="28483347"/>
    <n v="105"/>
    <n v="203"/>
    <n v="2477"/>
    <n v="258"/>
    <m/>
    <m/>
    <m/>
    <n v="0"/>
    <m/>
    <m/>
    <m/>
    <m/>
    <m/>
    <m/>
    <m/>
    <m/>
    <m/>
    <m/>
    <m/>
    <m/>
    <m/>
    <m/>
    <m/>
    <m/>
    <m/>
  </r>
  <r>
    <x v="0"/>
    <n v="4"/>
    <s v="CAMP"/>
    <x v="3"/>
    <s v="2013-2014"/>
    <x v="3"/>
    <n v="1930"/>
    <n v="799"/>
    <n v="1131"/>
    <n v="12284"/>
    <n v="36"/>
    <n v="8"/>
    <n v="16"/>
    <n v="1376"/>
    <n v="49606.327829282833"/>
    <n v="958"/>
    <n v="1864"/>
    <n v="375"/>
    <m/>
    <m/>
    <n v="760"/>
    <n v="347"/>
    <n v="274"/>
    <n v="266"/>
    <n v="1930"/>
    <n v="34103141"/>
    <n v="107"/>
    <n v="280"/>
    <n v="2177"/>
    <n v="750"/>
    <m/>
    <m/>
    <m/>
    <n v="625"/>
    <m/>
    <m/>
    <m/>
    <m/>
    <m/>
    <m/>
    <m/>
    <m/>
    <m/>
    <m/>
    <m/>
    <m/>
    <m/>
    <m/>
    <m/>
    <m/>
    <m/>
  </r>
  <r>
    <x v="0"/>
    <n v="7"/>
    <s v="CHIAP"/>
    <x v="4"/>
    <s v="2013-2014"/>
    <x v="3"/>
    <n v="7916"/>
    <n v="3054"/>
    <n v="4862"/>
    <n v="85235"/>
    <n v="143"/>
    <n v="21"/>
    <n v="42"/>
    <n v="5924"/>
    <n v="339210.95663831854"/>
    <n v="4091"/>
    <n v="7730"/>
    <n v="1854"/>
    <m/>
    <m/>
    <n v="3009"/>
    <n v="1710"/>
    <n v="1305"/>
    <n v="1212"/>
    <n v="7916"/>
    <n v="132254276"/>
    <n v="445"/>
    <n v="558"/>
    <n v="5222"/>
    <n v="13"/>
    <m/>
    <m/>
    <m/>
    <n v="256"/>
    <m/>
    <m/>
    <m/>
    <m/>
    <m/>
    <m/>
    <m/>
    <m/>
    <m/>
    <m/>
    <m/>
    <m/>
    <m/>
    <m/>
    <m/>
    <m/>
    <m/>
  </r>
  <r>
    <x v="0"/>
    <n v="8"/>
    <s v="CHIH"/>
    <x v="5"/>
    <s v="2013-2014"/>
    <x v="3"/>
    <n v="9072"/>
    <n v="3670"/>
    <n v="5402"/>
    <n v="53834"/>
    <n v="143"/>
    <n v="26"/>
    <n v="40"/>
    <n v="7458"/>
    <n v="201420.28859328708"/>
    <n v="4392"/>
    <n v="9183"/>
    <n v="1832"/>
    <m/>
    <m/>
    <n v="3668"/>
    <n v="1658"/>
    <n v="1499"/>
    <n v="1450"/>
    <n v="9072"/>
    <n v="126336677"/>
    <n v="604"/>
    <n v="856"/>
    <n v="11054"/>
    <n v="2633"/>
    <m/>
    <m/>
    <m/>
    <n v="4469"/>
    <n v="962"/>
    <m/>
    <m/>
    <m/>
    <m/>
    <m/>
    <m/>
    <m/>
    <m/>
    <m/>
    <m/>
    <m/>
    <m/>
    <m/>
    <m/>
    <m/>
    <m/>
  </r>
  <r>
    <x v="1"/>
    <n v="9"/>
    <s v="CDMX"/>
    <x v="6"/>
    <s v="2013-2014"/>
    <x v="3"/>
    <n v="42808"/>
    <n v="17832"/>
    <n v="24976"/>
    <n v="128608"/>
    <n v="545"/>
    <n v="91"/>
    <n v="164"/>
    <n v="31960"/>
    <n v="416841.07252891117"/>
    <n v="22668"/>
    <n v="43673"/>
    <n v="9190"/>
    <m/>
    <m/>
    <n v="20540"/>
    <n v="7987"/>
    <n v="7474"/>
    <n v="4963"/>
    <m/>
    <m/>
    <n v="2120"/>
    <n v="3101"/>
    <n v="20448"/>
    <n v="2193"/>
    <m/>
    <m/>
    <m/>
    <n v="1443"/>
    <m/>
    <m/>
    <m/>
    <m/>
    <m/>
    <m/>
    <m/>
    <m/>
    <m/>
    <m/>
    <m/>
    <m/>
    <m/>
    <m/>
    <m/>
    <m/>
    <m/>
  </r>
  <r>
    <x v="0"/>
    <n v="5"/>
    <s v="COAH"/>
    <x v="7"/>
    <s v="2013-2014"/>
    <x v="3"/>
    <n v="7891"/>
    <n v="3155"/>
    <n v="4736"/>
    <n v="43223"/>
    <n v="132"/>
    <n v="31"/>
    <n v="42"/>
    <n v="7051"/>
    <n v="163236.43417178339"/>
    <n v="4144"/>
    <n v="8071"/>
    <n v="1943"/>
    <m/>
    <m/>
    <n v="3257"/>
    <n v="1767"/>
    <n v="1594"/>
    <n v="1593"/>
    <n v="7891"/>
    <n v="124076457"/>
    <n v="426"/>
    <n v="943"/>
    <n v="12186"/>
    <n v="1121"/>
    <m/>
    <m/>
    <m/>
    <n v="1346"/>
    <m/>
    <m/>
    <m/>
    <m/>
    <m/>
    <m/>
    <m/>
    <m/>
    <m/>
    <m/>
    <m/>
    <m/>
    <m/>
    <m/>
    <m/>
    <m/>
    <m/>
  </r>
  <r>
    <x v="0"/>
    <n v="6"/>
    <s v="COL"/>
    <x v="8"/>
    <s v="2013-2014"/>
    <x v="3"/>
    <n v="1883"/>
    <n v="813"/>
    <n v="1070"/>
    <n v="8912"/>
    <n v="41"/>
    <n v="6"/>
    <n v="10"/>
    <n v="1151"/>
    <n v="37630.754876559426"/>
    <n v="948"/>
    <n v="1864"/>
    <n v="362"/>
    <m/>
    <m/>
    <n v="778"/>
    <n v="311"/>
    <n v="299"/>
    <n v="282"/>
    <n v="1883"/>
    <n v="34433440"/>
    <n v="122"/>
    <n v="289"/>
    <n v="3260"/>
    <n v="278"/>
    <m/>
    <m/>
    <m/>
    <n v="2"/>
    <m/>
    <m/>
    <m/>
    <m/>
    <m/>
    <m/>
    <m/>
    <m/>
    <m/>
    <m/>
    <m/>
    <m/>
    <m/>
    <m/>
    <m/>
    <m/>
    <m/>
  </r>
  <r>
    <x v="0"/>
    <n v="10"/>
    <s v="DGO"/>
    <x v="9"/>
    <s v="2013-2014"/>
    <x v="3"/>
    <n v="2413"/>
    <n v="1022"/>
    <n v="1391"/>
    <n v="28121"/>
    <n v="45"/>
    <n v="13"/>
    <n v="11"/>
    <n v="2057"/>
    <n v="104245.78939787953"/>
    <n v="1204"/>
    <n v="2386"/>
    <n v="447"/>
    <m/>
    <m/>
    <n v="1008"/>
    <n v="388"/>
    <n v="389"/>
    <n v="305"/>
    <n v="2413"/>
    <n v="33640421"/>
    <n v="165"/>
    <n v="245"/>
    <n v="7093"/>
    <n v="318"/>
    <m/>
    <m/>
    <m/>
    <n v="512"/>
    <m/>
    <m/>
    <m/>
    <m/>
    <m/>
    <m/>
    <m/>
    <m/>
    <m/>
    <m/>
    <m/>
    <m/>
    <m/>
    <m/>
    <m/>
    <m/>
    <m/>
  </r>
  <r>
    <x v="0"/>
    <n v="11"/>
    <s v="GTO"/>
    <x v="10"/>
    <s v="2013-2014"/>
    <x v="3"/>
    <n v="18280"/>
    <n v="8079"/>
    <n v="10201"/>
    <n v="92929"/>
    <n v="254"/>
    <n v="60"/>
    <n v="81"/>
    <n v="15586"/>
    <n v="350709.29111595784"/>
    <n v="12334"/>
    <n v="16619"/>
    <n v="4270"/>
    <m/>
    <m/>
    <n v="6317"/>
    <n v="3989"/>
    <n v="3531"/>
    <n v="3297"/>
    <n v="18280"/>
    <n v="202301884"/>
    <n v="917"/>
    <n v="1986"/>
    <n v="22717"/>
    <n v="2129"/>
    <m/>
    <m/>
    <m/>
    <n v="599"/>
    <n v="8974"/>
    <m/>
    <m/>
    <m/>
    <m/>
    <m/>
    <m/>
    <m/>
    <m/>
    <m/>
    <m/>
    <m/>
    <m/>
    <m/>
    <m/>
    <m/>
    <m/>
  </r>
  <r>
    <x v="0"/>
    <n v="12"/>
    <s v="GRO"/>
    <x v="11"/>
    <s v="2013-2014"/>
    <x v="3"/>
    <n v="6996"/>
    <n v="2731"/>
    <n v="4265"/>
    <n v="57748"/>
    <n v="118"/>
    <n v="25"/>
    <n v="39"/>
    <n v="5628"/>
    <n v="229444.85510118637"/>
    <n v="3569"/>
    <n v="7047"/>
    <n v="1624"/>
    <m/>
    <m/>
    <n v="3069"/>
    <n v="1531"/>
    <n v="1318"/>
    <n v="1020"/>
    <n v="6996"/>
    <n v="110429628"/>
    <n v="327"/>
    <n v="608"/>
    <n v="4631"/>
    <n v="1238"/>
    <m/>
    <m/>
    <m/>
    <n v="1886"/>
    <m/>
    <m/>
    <m/>
    <m/>
    <m/>
    <m/>
    <m/>
    <m/>
    <m/>
    <m/>
    <m/>
    <m/>
    <m/>
    <m/>
    <m/>
    <m/>
    <m/>
  </r>
  <r>
    <x v="0"/>
    <n v="13"/>
    <s v="HGO"/>
    <x v="12"/>
    <s v="2013-2014"/>
    <x v="3"/>
    <n v="3924"/>
    <n v="1716"/>
    <n v="2208"/>
    <n v="48232"/>
    <n v="65"/>
    <n v="27"/>
    <n v="26"/>
    <n v="3007"/>
    <n v="160236.09623416909"/>
    <n v="2104"/>
    <n v="3690"/>
    <n v="794"/>
    <m/>
    <m/>
    <n v="1445"/>
    <n v="696"/>
    <n v="719"/>
    <n v="715"/>
    <n v="3924"/>
    <n v="52946557"/>
    <n v="222"/>
    <n v="404"/>
    <n v="2670"/>
    <n v="247"/>
    <m/>
    <m/>
    <m/>
    <n v="207"/>
    <m/>
    <m/>
    <m/>
    <m/>
    <m/>
    <m/>
    <m/>
    <m/>
    <m/>
    <m/>
    <m/>
    <m/>
    <m/>
    <m/>
    <m/>
    <m/>
    <m/>
  </r>
  <r>
    <x v="0"/>
    <n v="14"/>
    <s v="JAL"/>
    <x v="13"/>
    <s v="2013-2014"/>
    <x v="3"/>
    <n v="14705"/>
    <n v="5644"/>
    <n v="9061"/>
    <n v="110165"/>
    <n v="255"/>
    <n v="32"/>
    <n v="75"/>
    <n v="11660"/>
    <n v="435539.89541535149"/>
    <n v="7428"/>
    <n v="15407"/>
    <n v="3549"/>
    <m/>
    <m/>
    <n v="6042"/>
    <n v="3118"/>
    <n v="2939"/>
    <n v="2839"/>
    <n v="14705"/>
    <n v="214696273"/>
    <n v="879"/>
    <n v="2076"/>
    <n v="23920"/>
    <n v="2393"/>
    <m/>
    <m/>
    <m/>
    <n v="35"/>
    <n v="427"/>
    <m/>
    <m/>
    <m/>
    <m/>
    <m/>
    <m/>
    <m/>
    <m/>
    <m/>
    <m/>
    <m/>
    <m/>
    <m/>
    <m/>
    <m/>
    <m/>
  </r>
  <r>
    <x v="0"/>
    <n v="15"/>
    <s v="MEX"/>
    <x v="14"/>
    <s v="2013-2014"/>
    <x v="3"/>
    <n v="47473"/>
    <n v="19346"/>
    <n v="28127"/>
    <n v="246038"/>
    <n v="737"/>
    <n v="137"/>
    <n v="223"/>
    <n v="36796"/>
    <n v="909426.38239890151"/>
    <n v="23555"/>
    <n v="48217"/>
    <n v="10598"/>
    <m/>
    <m/>
    <n v="22526"/>
    <n v="9041"/>
    <n v="9088"/>
    <n v="7283"/>
    <n v="47473"/>
    <n v="623639878"/>
    <n v="2508"/>
    <n v="4063"/>
    <n v="36420"/>
    <n v="4072"/>
    <m/>
    <m/>
    <m/>
    <n v="5395"/>
    <n v="582"/>
    <m/>
    <m/>
    <m/>
    <m/>
    <m/>
    <m/>
    <m/>
    <m/>
    <m/>
    <m/>
    <m/>
    <m/>
    <m/>
    <m/>
    <m/>
    <m/>
  </r>
  <r>
    <x v="0"/>
    <n v="16"/>
    <s v="MICH"/>
    <x v="15"/>
    <s v="2013-2014"/>
    <x v="3"/>
    <n v="11807"/>
    <n v="4749"/>
    <n v="7058"/>
    <n v="62745"/>
    <n v="226"/>
    <n v="41"/>
    <n v="63"/>
    <n v="8818"/>
    <n v="268149.49620750209"/>
    <n v="5920"/>
    <n v="12293"/>
    <n v="2966"/>
    <m/>
    <m/>
    <n v="5668"/>
    <n v="2525"/>
    <n v="2285"/>
    <n v="2083"/>
    <n v="11807"/>
    <n v="171064724"/>
    <n v="490"/>
    <n v="1056"/>
    <n v="6714"/>
    <n v="713"/>
    <m/>
    <m/>
    <m/>
    <n v="0"/>
    <m/>
    <m/>
    <m/>
    <m/>
    <m/>
    <m/>
    <m/>
    <m/>
    <m/>
    <m/>
    <m/>
    <m/>
    <m/>
    <m/>
    <m/>
    <m/>
    <m/>
  </r>
  <r>
    <x v="0"/>
    <n v="17"/>
    <s v="MOR"/>
    <x v="16"/>
    <s v="2013-2014"/>
    <x v="3"/>
    <n v="4693"/>
    <n v="1832"/>
    <n v="2861"/>
    <n v="29652"/>
    <n v="59"/>
    <n v="20"/>
    <n v="12"/>
    <n v="4044"/>
    <n v="103844.39817265478"/>
    <n v="2048"/>
    <n v="5012"/>
    <n v="1353"/>
    <m/>
    <m/>
    <n v="2231"/>
    <n v="1292"/>
    <n v="1059"/>
    <n v="973"/>
    <n v="4693"/>
    <n v="58251157"/>
    <n v="246"/>
    <n v="563"/>
    <n v="4512"/>
    <n v="648"/>
    <m/>
    <m/>
    <m/>
    <n v="2011"/>
    <m/>
    <m/>
    <m/>
    <m/>
    <m/>
    <m/>
    <m/>
    <m/>
    <m/>
    <m/>
    <m/>
    <m/>
    <m/>
    <m/>
    <m/>
    <m/>
    <m/>
  </r>
  <r>
    <x v="0"/>
    <n v="18"/>
    <s v="NAY"/>
    <x v="17"/>
    <s v="2013-2014"/>
    <x v="3"/>
    <n v="3037"/>
    <n v="1236"/>
    <n v="1801"/>
    <n v="18277"/>
    <n v="54"/>
    <n v="8"/>
    <n v="9"/>
    <n v="2723"/>
    <n v="65290.161300975204"/>
    <n v="1589"/>
    <n v="3043"/>
    <n v="684"/>
    <m/>
    <m/>
    <n v="1318"/>
    <n v="653"/>
    <n v="692"/>
    <n v="677"/>
    <n v="3037"/>
    <n v="43499898"/>
    <n v="120"/>
    <n v="418"/>
    <n v="1860"/>
    <n v="130"/>
    <m/>
    <m/>
    <m/>
    <n v="92"/>
    <m/>
    <m/>
    <m/>
    <m/>
    <m/>
    <m/>
    <m/>
    <m/>
    <m/>
    <m/>
    <m/>
    <m/>
    <m/>
    <m/>
    <m/>
    <m/>
    <m/>
  </r>
  <r>
    <x v="0"/>
    <n v="19"/>
    <s v="NL"/>
    <x v="18"/>
    <s v="2013-2014"/>
    <x v="3"/>
    <n v="17191"/>
    <n v="7514"/>
    <n v="9677"/>
    <n v="75177"/>
    <n v="250"/>
    <n v="52"/>
    <n v="80"/>
    <n v="14351"/>
    <n v="258644.31615898266"/>
    <n v="10674"/>
    <n v="16396"/>
    <n v="3499"/>
    <m/>
    <m/>
    <n v="6451"/>
    <n v="3199"/>
    <n v="3069"/>
    <n v="2967"/>
    <n v="17191"/>
    <n v="181234995"/>
    <n v="891"/>
    <n v="1703"/>
    <n v="44762"/>
    <n v="4064"/>
    <m/>
    <m/>
    <m/>
    <n v="37828"/>
    <n v="617"/>
    <m/>
    <m/>
    <m/>
    <m/>
    <m/>
    <m/>
    <m/>
    <m/>
    <m/>
    <m/>
    <m/>
    <m/>
    <m/>
    <m/>
    <m/>
    <m/>
  </r>
  <r>
    <x v="1"/>
    <n v="20"/>
    <s v="OAX"/>
    <x v="19"/>
    <s v="2013-2014"/>
    <x v="3"/>
    <n v="6603"/>
    <n v="2396"/>
    <n v="4207"/>
    <n v="63618"/>
    <n v="106"/>
    <n v="8"/>
    <n v="32"/>
    <n v="5119"/>
    <n v="244037.21660395796"/>
    <n v="3072"/>
    <n v="6750"/>
    <n v="1293"/>
    <m/>
    <m/>
    <n v="2468"/>
    <n v="1194"/>
    <n v="1152"/>
    <n v="891"/>
    <m/>
    <m/>
    <n v="382"/>
    <n v="420"/>
    <n v="2817"/>
    <n v="65"/>
    <m/>
    <m/>
    <m/>
    <n v="462"/>
    <m/>
    <m/>
    <m/>
    <m/>
    <m/>
    <m/>
    <m/>
    <m/>
    <m/>
    <m/>
    <m/>
    <m/>
    <m/>
    <m/>
    <m/>
    <m/>
    <m/>
  </r>
  <r>
    <x v="0"/>
    <n v="21"/>
    <s v="PUE"/>
    <x v="20"/>
    <s v="2013-2014"/>
    <x v="3"/>
    <n v="7277"/>
    <n v="2813"/>
    <n v="4464"/>
    <n v="99239"/>
    <n v="141"/>
    <n v="37"/>
    <n v="56"/>
    <n v="6125"/>
    <n v="366372.62420574436"/>
    <n v="4136"/>
    <n v="7539"/>
    <n v="1934"/>
    <m/>
    <m/>
    <n v="3093"/>
    <n v="1760"/>
    <n v="1621"/>
    <n v="1546"/>
    <n v="7277"/>
    <n v="124199174"/>
    <n v="392"/>
    <n v="875"/>
    <n v="7054"/>
    <n v="567"/>
    <m/>
    <m/>
    <m/>
    <n v="5358"/>
    <m/>
    <m/>
    <m/>
    <m/>
    <m/>
    <m/>
    <m/>
    <m/>
    <m/>
    <m/>
    <m/>
    <m/>
    <m/>
    <m/>
    <m/>
    <m/>
    <m/>
  </r>
  <r>
    <x v="0"/>
    <n v="22"/>
    <s v="QRO"/>
    <x v="21"/>
    <s v="2013-2014"/>
    <x v="3"/>
    <n v="3224"/>
    <n v="1347"/>
    <n v="1877"/>
    <n v="28481"/>
    <n v="51"/>
    <n v="12"/>
    <n v="28"/>
    <n v="2742"/>
    <n v="113507.25317716529"/>
    <n v="2178"/>
    <n v="3014"/>
    <n v="748"/>
    <m/>
    <m/>
    <n v="1048"/>
    <n v="703"/>
    <n v="606"/>
    <n v="528"/>
    <n v="3224"/>
    <n v="38235173"/>
    <n v="243"/>
    <n v="354"/>
    <n v="4856"/>
    <n v="219"/>
    <m/>
    <m/>
    <m/>
    <n v="4"/>
    <m/>
    <m/>
    <m/>
    <m/>
    <m/>
    <m/>
    <m/>
    <m/>
    <m/>
    <m/>
    <m/>
    <m/>
    <m/>
    <m/>
    <m/>
    <m/>
    <m/>
  </r>
  <r>
    <x v="0"/>
    <n v="23"/>
    <s v="QROO"/>
    <x v="22"/>
    <s v="2013-2014"/>
    <x v="3"/>
    <n v="8835"/>
    <n v="3422"/>
    <n v="5413"/>
    <n v="20556"/>
    <n v="104"/>
    <n v="18"/>
    <n v="29"/>
    <n v="6863"/>
    <n v="80603.226862702431"/>
    <n v="3967"/>
    <n v="8685"/>
    <n v="2104"/>
    <m/>
    <m/>
    <n v="3302"/>
    <n v="1858"/>
    <n v="1943"/>
    <n v="1886"/>
    <n v="8835"/>
    <n v="83082049"/>
    <n v="409"/>
    <n v="854"/>
    <n v="8547"/>
    <n v="650"/>
    <m/>
    <m/>
    <m/>
    <n v="1653"/>
    <m/>
    <m/>
    <m/>
    <m/>
    <m/>
    <m/>
    <m/>
    <m/>
    <m/>
    <m/>
    <m/>
    <m/>
    <m/>
    <m/>
    <m/>
    <m/>
    <m/>
  </r>
  <r>
    <x v="0"/>
    <n v="24"/>
    <s v="SLP"/>
    <x v="23"/>
    <s v="2013-2014"/>
    <x v="3"/>
    <n v="5373"/>
    <n v="2113"/>
    <n v="3260"/>
    <n v="44201"/>
    <n v="84"/>
    <n v="24"/>
    <n v="28"/>
    <n v="4365"/>
    <n v="162591.23938538344"/>
    <n v="2513"/>
    <n v="5478"/>
    <n v="1182"/>
    <m/>
    <m/>
    <n v="2270"/>
    <n v="1099"/>
    <n v="951"/>
    <n v="886"/>
    <n v="5373"/>
    <n v="72691037"/>
    <n v="327"/>
    <n v="398"/>
    <n v="8025"/>
    <n v="711"/>
    <m/>
    <m/>
    <m/>
    <n v="903"/>
    <m/>
    <m/>
    <m/>
    <m/>
    <m/>
    <m/>
    <m/>
    <m/>
    <m/>
    <m/>
    <m/>
    <m/>
    <m/>
    <m/>
    <m/>
    <m/>
    <m/>
  </r>
  <r>
    <x v="0"/>
    <n v="25"/>
    <s v="SIN"/>
    <x v="24"/>
    <s v="2013-2014"/>
    <x v="3"/>
    <n v="9306"/>
    <n v="3734"/>
    <n v="5572"/>
    <n v="47345"/>
    <n v="180"/>
    <n v="48"/>
    <n v="49"/>
    <n v="7757"/>
    <n v="166876.95846203336"/>
    <n v="4530"/>
    <n v="9564"/>
    <n v="2408"/>
    <m/>
    <m/>
    <n v="3555"/>
    <n v="2310"/>
    <n v="2090"/>
    <n v="2080"/>
    <n v="9306"/>
    <n v="184315590"/>
    <n v="612"/>
    <n v="986"/>
    <n v="7312"/>
    <n v="388"/>
    <m/>
    <m/>
    <m/>
    <n v="0"/>
    <m/>
    <m/>
    <m/>
    <m/>
    <m/>
    <m/>
    <m/>
    <m/>
    <m/>
    <m/>
    <m/>
    <m/>
    <m/>
    <m/>
    <m/>
    <m/>
    <m/>
  </r>
  <r>
    <x v="0"/>
    <n v="26"/>
    <s v="SON"/>
    <x v="25"/>
    <s v="2013-2014"/>
    <x v="3"/>
    <n v="12900"/>
    <n v="5501"/>
    <n v="7399"/>
    <n v="46866"/>
    <n v="241"/>
    <n v="35"/>
    <n v="45"/>
    <n v="11004"/>
    <n v="157243.00090581051"/>
    <n v="5613"/>
    <n v="12561"/>
    <n v="2760"/>
    <m/>
    <m/>
    <n v="5662"/>
    <n v="2545"/>
    <n v="2121"/>
    <n v="1905"/>
    <n v="12900"/>
    <n v="186557052"/>
    <n v="521"/>
    <n v="993"/>
    <n v="11874"/>
    <n v="1364"/>
    <m/>
    <m/>
    <m/>
    <n v="0"/>
    <m/>
    <m/>
    <m/>
    <m/>
    <m/>
    <m/>
    <m/>
    <m/>
    <m/>
    <m/>
    <m/>
    <m/>
    <m/>
    <m/>
    <m/>
    <m/>
    <m/>
  </r>
  <r>
    <x v="0"/>
    <n v="27"/>
    <s v="TAB"/>
    <x v="26"/>
    <s v="2013-2014"/>
    <x v="3"/>
    <n v="5452"/>
    <n v="2164"/>
    <n v="3288"/>
    <n v="36668"/>
    <n v="79"/>
    <n v="21"/>
    <n v="31"/>
    <n v="4558"/>
    <n v="134705.84663611482"/>
    <n v="2164"/>
    <n v="5305"/>
    <n v="1288"/>
    <m/>
    <m/>
    <n v="2193"/>
    <n v="1138"/>
    <n v="1080"/>
    <n v="1073"/>
    <n v="5452"/>
    <n v="92390906"/>
    <n v="296"/>
    <n v="414"/>
    <n v="3145"/>
    <n v="22"/>
    <m/>
    <m/>
    <m/>
    <n v="503"/>
    <m/>
    <m/>
    <m/>
    <m/>
    <m/>
    <m/>
    <m/>
    <m/>
    <m/>
    <m/>
    <m/>
    <m/>
    <m/>
    <m/>
    <m/>
    <m/>
    <m/>
  </r>
  <r>
    <x v="0"/>
    <n v="28"/>
    <s v="TAMPS"/>
    <x v="27"/>
    <s v="2013-2014"/>
    <x v="3"/>
    <n v="9144"/>
    <n v="3644"/>
    <n v="5500"/>
    <n v="45534"/>
    <n v="143"/>
    <n v="24"/>
    <n v="53"/>
    <n v="7784"/>
    <n v="186145.71750308797"/>
    <n v="4396"/>
    <n v="8923"/>
    <n v="1841"/>
    <m/>
    <m/>
    <n v="3133"/>
    <n v="1672"/>
    <n v="1817"/>
    <n v="1754"/>
    <n v="9144"/>
    <n v="143856893"/>
    <n v="412"/>
    <n v="939"/>
    <n v="16612"/>
    <n v="466"/>
    <m/>
    <m/>
    <m/>
    <n v="43"/>
    <n v="34"/>
    <m/>
    <m/>
    <m/>
    <m/>
    <m/>
    <m/>
    <m/>
    <m/>
    <m/>
    <m/>
    <m/>
    <m/>
    <m/>
    <m/>
    <m/>
    <m/>
  </r>
  <r>
    <x v="0"/>
    <n v="29"/>
    <s v="TLAX"/>
    <x v="28"/>
    <s v="2013-2014"/>
    <x v="3"/>
    <n v="3098"/>
    <n v="1269"/>
    <n v="1829"/>
    <n v="20885"/>
    <n v="43"/>
    <n v="11"/>
    <n v="17"/>
    <n v="2525"/>
    <n v="73145.535441940141"/>
    <n v="1516"/>
    <n v="3109"/>
    <n v="682"/>
    <m/>
    <m/>
    <n v="1104"/>
    <n v="628"/>
    <n v="571"/>
    <n v="549"/>
    <n v="3098"/>
    <n v="35029811"/>
    <n v="207"/>
    <n v="358"/>
    <n v="1385"/>
    <n v="56"/>
    <m/>
    <m/>
    <m/>
    <n v="0"/>
    <m/>
    <m/>
    <m/>
    <m/>
    <m/>
    <m/>
    <m/>
    <m/>
    <m/>
    <m/>
    <m/>
    <m/>
    <m/>
    <m/>
    <m/>
    <m/>
    <m/>
  </r>
  <r>
    <x v="0"/>
    <n v="30"/>
    <s v="VER"/>
    <x v="29"/>
    <s v="2013-2014"/>
    <x v="3"/>
    <n v="9096"/>
    <n v="3472"/>
    <n v="5624"/>
    <n v="123917"/>
    <n v="175"/>
    <n v="36"/>
    <n v="74"/>
    <n v="7871"/>
    <n v="456163.09147284296"/>
    <n v="5246"/>
    <n v="9255"/>
    <n v="2316"/>
    <m/>
    <m/>
    <n v="3522"/>
    <n v="2105"/>
    <n v="2128"/>
    <n v="2026"/>
    <n v="9096"/>
    <n v="188756223"/>
    <n v="580"/>
    <n v="1302"/>
    <n v="10384"/>
    <n v="245"/>
    <m/>
    <m/>
    <m/>
    <n v="679"/>
    <n v="1185"/>
    <m/>
    <m/>
    <m/>
    <m/>
    <m/>
    <m/>
    <m/>
    <m/>
    <m/>
    <m/>
    <m/>
    <m/>
    <m/>
    <m/>
    <m/>
    <m/>
  </r>
  <r>
    <x v="0"/>
    <n v="31"/>
    <s v="YUC"/>
    <x v="30"/>
    <s v="2013-2014"/>
    <x v="3"/>
    <n v="4673"/>
    <n v="1841"/>
    <n v="2832"/>
    <n v="29568"/>
    <n v="68"/>
    <n v="14"/>
    <n v="22"/>
    <n v="3554"/>
    <n v="113002.20832453723"/>
    <n v="2565"/>
    <n v="4409"/>
    <n v="1138"/>
    <m/>
    <m/>
    <n v="1972"/>
    <n v="998"/>
    <n v="774"/>
    <n v="729"/>
    <n v="4673"/>
    <n v="83899942"/>
    <n v="252"/>
    <n v="390"/>
    <n v="7791"/>
    <n v="396"/>
    <m/>
    <m/>
    <m/>
    <n v="1487"/>
    <m/>
    <m/>
    <m/>
    <m/>
    <m/>
    <m/>
    <m/>
    <m/>
    <m/>
    <m/>
    <m/>
    <m/>
    <m/>
    <m/>
    <m/>
    <m/>
    <m/>
  </r>
  <r>
    <x v="0"/>
    <n v="32"/>
    <s v="ZAC"/>
    <x v="31"/>
    <s v="2013-2014"/>
    <x v="3"/>
    <n v="1759"/>
    <n v="801"/>
    <n v="958"/>
    <n v="26220"/>
    <n v="47"/>
    <n v="15"/>
    <n v="6"/>
    <n v="1389"/>
    <n v="91649.600964842932"/>
    <n v="928"/>
    <n v="1722"/>
    <n v="334"/>
    <m/>
    <m/>
    <n v="800"/>
    <n v="287"/>
    <n v="288"/>
    <n v="270"/>
    <n v="1759"/>
    <n v="30600067"/>
    <n v="88"/>
    <n v="163"/>
    <n v="2125"/>
    <n v="360"/>
    <m/>
    <m/>
    <m/>
    <n v="57"/>
    <m/>
    <m/>
    <m/>
    <m/>
    <m/>
    <m/>
    <m/>
    <m/>
    <m/>
    <m/>
    <m/>
    <m/>
    <m/>
    <m/>
    <m/>
    <m/>
    <m/>
  </r>
  <r>
    <x v="2"/>
    <n v="33"/>
    <s v="OTRO"/>
    <x v="32"/>
    <s v="2013-2014"/>
    <x v="3"/>
    <m/>
    <m/>
    <m/>
    <m/>
    <m/>
    <m/>
    <m/>
    <m/>
    <m/>
    <m/>
    <m/>
    <m/>
    <m/>
    <m/>
    <m/>
    <m/>
    <m/>
    <m/>
    <m/>
    <m/>
    <m/>
    <m/>
    <m/>
    <m/>
    <m/>
    <m/>
    <m/>
    <m/>
    <m/>
    <m/>
    <m/>
    <m/>
    <m/>
    <m/>
    <m/>
    <m/>
    <m/>
    <m/>
    <m/>
    <m/>
    <m/>
    <m/>
    <m/>
    <m/>
    <m/>
  </r>
  <r>
    <x v="1"/>
    <n v="0"/>
    <s v="ON"/>
    <x v="33"/>
    <s v="2013-2014"/>
    <x v="3"/>
    <m/>
    <m/>
    <m/>
    <m/>
    <m/>
    <m/>
    <m/>
    <m/>
    <m/>
    <m/>
    <m/>
    <m/>
    <m/>
    <m/>
    <m/>
    <m/>
    <m/>
    <m/>
    <m/>
    <m/>
    <m/>
    <m/>
    <m/>
    <m/>
    <m/>
    <m/>
    <m/>
    <m/>
    <m/>
    <n v="267870.54704999999"/>
    <n v="1477702"/>
    <n v="1477702"/>
    <n v="1497810.8"/>
    <n v="1379713.2"/>
    <n v="1379713.2"/>
    <n v="1414326.6"/>
    <n v="1433622.3"/>
    <n v="63375.4"/>
    <n v="64188.5"/>
    <n v="97988.800000000003"/>
    <n v="1477702"/>
    <n v="113139.511"/>
    <n v="118097.60000000001"/>
    <n v="1477702"/>
    <n v="1497810.8"/>
  </r>
  <r>
    <x v="0"/>
    <n v="1"/>
    <s v="AGS"/>
    <x v="0"/>
    <s v="2014-2015"/>
    <x v="4"/>
    <n v="4702"/>
    <n v="1860"/>
    <n v="2842"/>
    <n v="22695"/>
    <n v="84"/>
    <n v="14"/>
    <n v="19"/>
    <n v="3971"/>
    <n v="75527.697364606225"/>
    <n v="3529"/>
    <n v="4724"/>
    <n v="1355"/>
    <m/>
    <m/>
    <n v="2029"/>
    <n v="1195"/>
    <n v="1076"/>
    <n v="959"/>
    <n v="4702"/>
    <n v="54318738"/>
    <n v="298"/>
    <n v="451"/>
    <n v="3707"/>
    <n v="200"/>
    <m/>
    <m/>
    <m/>
    <n v="513"/>
    <m/>
    <m/>
    <m/>
    <m/>
    <m/>
    <m/>
    <m/>
    <m/>
    <m/>
    <m/>
    <m/>
    <m/>
    <m/>
    <m/>
    <m/>
    <m/>
    <m/>
  </r>
  <r>
    <x v="0"/>
    <n v="2"/>
    <s v="BC"/>
    <x v="1"/>
    <s v="2014-2015"/>
    <x v="4"/>
    <n v="8064"/>
    <n v="3277"/>
    <n v="4787"/>
    <n v="52307"/>
    <n v="118"/>
    <n v="16"/>
    <n v="25"/>
    <n v="6550"/>
    <n v="192061.00847132175"/>
    <n v="3831"/>
    <n v="7923"/>
    <n v="1696"/>
    <m/>
    <m/>
    <n v="3537"/>
    <n v="1508"/>
    <n v="1654"/>
    <n v="1469"/>
    <n v="8064"/>
    <n v="116478902"/>
    <n v="395"/>
    <n v="627"/>
    <n v="5889"/>
    <n v="239"/>
    <m/>
    <m/>
    <m/>
    <n v="21"/>
    <n v="998"/>
    <m/>
    <m/>
    <m/>
    <m/>
    <m/>
    <m/>
    <m/>
    <m/>
    <m/>
    <m/>
    <m/>
    <m/>
    <m/>
    <m/>
    <m/>
    <m/>
  </r>
  <r>
    <x v="0"/>
    <n v="3"/>
    <s v="BCS"/>
    <x v="2"/>
    <s v="2014-2015"/>
    <x v="4"/>
    <n v="1962"/>
    <n v="709"/>
    <n v="1253"/>
    <n v="10688"/>
    <n v="17"/>
    <n v="6"/>
    <n v="2"/>
    <n v="1514"/>
    <n v="39449.577969580379"/>
    <n v="1155"/>
    <n v="2058"/>
    <n v="399"/>
    <m/>
    <m/>
    <n v="585"/>
    <n v="331"/>
    <n v="366"/>
    <n v="363"/>
    <n v="1962"/>
    <n v="29174547"/>
    <n v="95"/>
    <n v="217"/>
    <n v="1164"/>
    <n v="267"/>
    <m/>
    <m/>
    <m/>
    <n v="0"/>
    <m/>
    <m/>
    <m/>
    <m/>
    <m/>
    <m/>
    <m/>
    <m/>
    <m/>
    <m/>
    <m/>
    <m/>
    <m/>
    <m/>
    <m/>
    <m/>
    <m/>
  </r>
  <r>
    <x v="0"/>
    <n v="4"/>
    <s v="CAMP"/>
    <x v="3"/>
    <s v="2014-2015"/>
    <x v="4"/>
    <n v="1918"/>
    <n v="744"/>
    <n v="1174"/>
    <n v="12251"/>
    <n v="38"/>
    <n v="6"/>
    <n v="17"/>
    <n v="1342"/>
    <n v="49198.152137247227"/>
    <n v="914"/>
    <n v="1930"/>
    <n v="362"/>
    <m/>
    <m/>
    <n v="769"/>
    <n v="321"/>
    <n v="347"/>
    <n v="338"/>
    <n v="1918"/>
    <n v="34927941"/>
    <n v="107"/>
    <n v="311"/>
    <n v="1325"/>
    <n v="170"/>
    <m/>
    <m/>
    <m/>
    <n v="337"/>
    <m/>
    <m/>
    <m/>
    <m/>
    <m/>
    <m/>
    <m/>
    <m/>
    <m/>
    <m/>
    <m/>
    <m/>
    <m/>
    <m/>
    <m/>
    <m/>
    <m/>
  </r>
  <r>
    <x v="0"/>
    <n v="7"/>
    <s v="CHIAP"/>
    <x v="4"/>
    <s v="2014-2015"/>
    <x v="4"/>
    <n v="7561"/>
    <n v="2807"/>
    <n v="4754"/>
    <n v="88123"/>
    <n v="148"/>
    <n v="19"/>
    <n v="42"/>
    <n v="5709"/>
    <n v="340566.79062819039"/>
    <n v="3745"/>
    <n v="7916"/>
    <n v="2004"/>
    <m/>
    <m/>
    <n v="3283"/>
    <n v="1826"/>
    <n v="1710"/>
    <n v="1545"/>
    <n v="7561"/>
    <n v="135011976"/>
    <n v="450"/>
    <n v="679"/>
    <n v="4291"/>
    <n v="50"/>
    <m/>
    <m/>
    <m/>
    <n v="376"/>
    <m/>
    <m/>
    <m/>
    <m/>
    <m/>
    <m/>
    <m/>
    <m/>
    <m/>
    <m/>
    <m/>
    <m/>
    <m/>
    <m/>
    <m/>
    <m/>
    <m/>
  </r>
  <r>
    <x v="0"/>
    <n v="8"/>
    <s v="CHIH"/>
    <x v="5"/>
    <s v="2014-2015"/>
    <x v="4"/>
    <n v="9728"/>
    <n v="3922"/>
    <n v="5806"/>
    <n v="53751"/>
    <n v="154"/>
    <n v="25"/>
    <n v="45"/>
    <n v="8012"/>
    <n v="201857.30158643681"/>
    <n v="4560"/>
    <n v="9072"/>
    <n v="1944"/>
    <m/>
    <m/>
    <n v="3922"/>
    <n v="1732"/>
    <n v="1658"/>
    <n v="1588"/>
    <n v="9728"/>
    <n v="129239077"/>
    <n v="581"/>
    <n v="917"/>
    <n v="5796"/>
    <n v="2102"/>
    <m/>
    <m/>
    <m/>
    <n v="1258"/>
    <n v="1059"/>
    <m/>
    <m/>
    <m/>
    <m/>
    <m/>
    <m/>
    <m/>
    <m/>
    <m/>
    <m/>
    <m/>
    <m/>
    <m/>
    <m/>
    <m/>
    <m/>
  </r>
  <r>
    <x v="1"/>
    <n v="9"/>
    <s v="CDMX"/>
    <x v="6"/>
    <s v="2014-2015"/>
    <x v="4"/>
    <n v="43160"/>
    <n v="18370"/>
    <n v="24790"/>
    <n v="127866"/>
    <n v="545"/>
    <n v="93"/>
    <n v="166"/>
    <n v="32687"/>
    <n v="410538.77783324482"/>
    <n v="23150"/>
    <n v="42808"/>
    <n v="9160"/>
    <m/>
    <m/>
    <n v="18821"/>
    <n v="7626"/>
    <n v="7987"/>
    <n v="5123"/>
    <m/>
    <m/>
    <n v="2164"/>
    <n v="3225"/>
    <n v="15276"/>
    <n v="224"/>
    <m/>
    <m/>
    <m/>
    <n v="2099"/>
    <m/>
    <m/>
    <m/>
    <m/>
    <m/>
    <m/>
    <m/>
    <m/>
    <m/>
    <m/>
    <m/>
    <m/>
    <m/>
    <m/>
    <m/>
    <m/>
    <m/>
  </r>
  <r>
    <x v="0"/>
    <n v="5"/>
    <s v="COAH"/>
    <x v="7"/>
    <s v="2014-2015"/>
    <x v="4"/>
    <n v="7918"/>
    <n v="3366"/>
    <n v="4552"/>
    <n v="44561"/>
    <n v="126"/>
    <n v="24"/>
    <n v="43"/>
    <n v="7125"/>
    <n v="163891.60959595948"/>
    <n v="4255"/>
    <n v="7891"/>
    <n v="1992"/>
    <m/>
    <m/>
    <n v="3388"/>
    <n v="1840"/>
    <n v="1767"/>
    <n v="1743"/>
    <n v="7918"/>
    <n v="126959657"/>
    <n v="415"/>
    <n v="846"/>
    <n v="5638"/>
    <n v="757"/>
    <m/>
    <m/>
    <m/>
    <n v="2"/>
    <m/>
    <m/>
    <m/>
    <m/>
    <m/>
    <m/>
    <m/>
    <m/>
    <m/>
    <m/>
    <m/>
    <m/>
    <m/>
    <m/>
    <m/>
    <m/>
    <m/>
  </r>
  <r>
    <x v="0"/>
    <n v="6"/>
    <s v="COL"/>
    <x v="8"/>
    <s v="2014-2015"/>
    <x v="4"/>
    <n v="1906"/>
    <n v="823"/>
    <n v="1083"/>
    <n v="8273"/>
    <n v="41"/>
    <n v="5"/>
    <n v="10"/>
    <n v="1181"/>
    <n v="37641.209130106377"/>
    <n v="942"/>
    <n v="1883"/>
    <n v="398"/>
    <m/>
    <m/>
    <n v="806"/>
    <n v="323"/>
    <n v="311"/>
    <n v="290"/>
    <n v="1906"/>
    <n v="35267340"/>
    <n v="121"/>
    <n v="313"/>
    <n v="1997"/>
    <n v="9"/>
    <m/>
    <m/>
    <m/>
    <n v="51"/>
    <m/>
    <m/>
    <m/>
    <m/>
    <m/>
    <m/>
    <m/>
    <m/>
    <m/>
    <m/>
    <m/>
    <m/>
    <m/>
    <m/>
    <m/>
    <m/>
    <m/>
  </r>
  <r>
    <x v="0"/>
    <n v="10"/>
    <s v="DGO"/>
    <x v="9"/>
    <s v="2014-2015"/>
    <x v="4"/>
    <n v="2483"/>
    <n v="1025"/>
    <n v="1458"/>
    <n v="28693"/>
    <n v="45"/>
    <n v="13"/>
    <n v="11"/>
    <n v="2065"/>
    <n v="104210.00031715367"/>
    <n v="1156"/>
    <n v="2413"/>
    <n v="463"/>
    <m/>
    <m/>
    <n v="1047"/>
    <n v="423"/>
    <n v="388"/>
    <n v="286"/>
    <n v="2483"/>
    <n v="34487021"/>
    <n v="164"/>
    <n v="248"/>
    <n v="2625"/>
    <n v="72"/>
    <m/>
    <m/>
    <m/>
    <n v="606"/>
    <m/>
    <m/>
    <m/>
    <m/>
    <m/>
    <m/>
    <m/>
    <m/>
    <m/>
    <m/>
    <m/>
    <m/>
    <m/>
    <m/>
    <m/>
    <m/>
    <m/>
  </r>
  <r>
    <x v="0"/>
    <n v="11"/>
    <s v="GTO"/>
    <x v="10"/>
    <s v="2014-2015"/>
    <x v="4"/>
    <n v="17733"/>
    <n v="6355"/>
    <n v="11378"/>
    <n v="94122"/>
    <n v="238"/>
    <n v="56"/>
    <n v="70"/>
    <n v="14983"/>
    <n v="349671.87180136447"/>
    <n v="10284"/>
    <n v="18280"/>
    <n v="4173"/>
    <m/>
    <m/>
    <n v="6290"/>
    <n v="3874"/>
    <n v="3989"/>
    <n v="3898"/>
    <n v="17733"/>
    <n v="206713084"/>
    <n v="928"/>
    <n v="1959"/>
    <n v="22282"/>
    <n v="843"/>
    <m/>
    <m/>
    <m/>
    <n v="1763"/>
    <n v="10952"/>
    <m/>
    <m/>
    <m/>
    <m/>
    <m/>
    <m/>
    <m/>
    <m/>
    <m/>
    <m/>
    <m/>
    <m/>
    <m/>
    <m/>
    <m/>
    <m/>
  </r>
  <r>
    <x v="0"/>
    <n v="12"/>
    <s v="GRO"/>
    <x v="11"/>
    <s v="2014-2015"/>
    <x v="4"/>
    <n v="6743"/>
    <n v="2541"/>
    <n v="4202"/>
    <n v="57668"/>
    <n v="123"/>
    <n v="24"/>
    <n v="42"/>
    <n v="5422"/>
    <n v="228424.40717370744"/>
    <n v="3492"/>
    <n v="6996"/>
    <n v="1579"/>
    <m/>
    <m/>
    <n v="2982"/>
    <n v="1482"/>
    <n v="1531"/>
    <n v="1151"/>
    <n v="6743"/>
    <n v="112866728"/>
    <n v="318"/>
    <n v="554"/>
    <n v="2933"/>
    <n v="461"/>
    <m/>
    <m/>
    <m/>
    <n v="1800"/>
    <m/>
    <m/>
    <m/>
    <m/>
    <m/>
    <m/>
    <m/>
    <m/>
    <m/>
    <m/>
    <m/>
    <m/>
    <m/>
    <m/>
    <m/>
    <m/>
    <m/>
  </r>
  <r>
    <x v="0"/>
    <n v="13"/>
    <s v="HGO"/>
    <x v="12"/>
    <s v="2014-2015"/>
    <x v="4"/>
    <n v="3498"/>
    <n v="1417"/>
    <n v="2081"/>
    <n v="49083"/>
    <n v="65"/>
    <n v="23"/>
    <n v="28"/>
    <n v="2705"/>
    <n v="160118.07123933081"/>
    <n v="1777"/>
    <n v="3924"/>
    <n v="886"/>
    <m/>
    <m/>
    <n v="1656"/>
    <n v="754"/>
    <n v="696"/>
    <n v="696"/>
    <n v="3498"/>
    <n v="54215457"/>
    <n v="210"/>
    <n v="415"/>
    <n v="2003"/>
    <n v="64"/>
    <m/>
    <m/>
    <m/>
    <n v="147"/>
    <m/>
    <m/>
    <m/>
    <m/>
    <m/>
    <m/>
    <m/>
    <m/>
    <m/>
    <m/>
    <m/>
    <m/>
    <m/>
    <m/>
    <m/>
    <m/>
    <m/>
  </r>
  <r>
    <x v="0"/>
    <n v="14"/>
    <s v="JAL"/>
    <x v="13"/>
    <s v="2014-2015"/>
    <x v="4"/>
    <n v="14848"/>
    <n v="5847"/>
    <n v="9001"/>
    <n v="112081"/>
    <n v="255"/>
    <n v="32"/>
    <n v="78"/>
    <n v="11798"/>
    <n v="435120.49567736045"/>
    <n v="6963"/>
    <n v="14705"/>
    <n v="3470"/>
    <m/>
    <m/>
    <n v="5964"/>
    <n v="3107"/>
    <n v="3118"/>
    <n v="2991"/>
    <n v="14848"/>
    <n v="219637773"/>
    <n v="905"/>
    <n v="2137"/>
    <n v="13630"/>
    <n v="1180"/>
    <m/>
    <m/>
    <m/>
    <n v="396"/>
    <n v="491"/>
    <m/>
    <m/>
    <m/>
    <m/>
    <m/>
    <m/>
    <m/>
    <m/>
    <m/>
    <m/>
    <m/>
    <m/>
    <m/>
    <m/>
    <m/>
    <m/>
  </r>
  <r>
    <x v="0"/>
    <n v="15"/>
    <s v="MEX"/>
    <x v="14"/>
    <s v="2014-2015"/>
    <x v="4"/>
    <n v="46706"/>
    <n v="19347"/>
    <n v="27359"/>
    <n v="251537"/>
    <n v="741"/>
    <n v="142"/>
    <n v="214"/>
    <n v="36737"/>
    <n v="911287.59623206698"/>
    <n v="19641"/>
    <n v="47473"/>
    <n v="10457"/>
    <m/>
    <m/>
    <n v="20185"/>
    <n v="8724"/>
    <n v="9041"/>
    <n v="7895"/>
    <n v="46706"/>
    <n v="639065378"/>
    <n v="2378"/>
    <n v="3926"/>
    <n v="25771"/>
    <n v="7841"/>
    <m/>
    <m/>
    <m/>
    <n v="7754"/>
    <n v="671"/>
    <m/>
    <m/>
    <m/>
    <m/>
    <m/>
    <m/>
    <m/>
    <m/>
    <m/>
    <m/>
    <m/>
    <m/>
    <m/>
    <m/>
    <m/>
    <m/>
  </r>
  <r>
    <x v="0"/>
    <n v="16"/>
    <s v="MICH"/>
    <x v="15"/>
    <s v="2014-2015"/>
    <x v="4"/>
    <n v="11679"/>
    <n v="4533"/>
    <n v="7146"/>
    <n v="62780"/>
    <n v="226"/>
    <n v="41"/>
    <n v="63"/>
    <n v="8768"/>
    <n v="265729.05246062623"/>
    <n v="5716"/>
    <n v="11807"/>
    <n v="2858"/>
    <m/>
    <m/>
    <n v="5092"/>
    <n v="2342"/>
    <n v="2525"/>
    <n v="2264"/>
    <n v="11679"/>
    <n v="174887424"/>
    <n v="474"/>
    <n v="1093"/>
    <n v="4341"/>
    <n v="136"/>
    <m/>
    <m/>
    <m/>
    <n v="49"/>
    <m/>
    <m/>
    <m/>
    <m/>
    <m/>
    <m/>
    <m/>
    <m/>
    <m/>
    <m/>
    <m/>
    <m/>
    <m/>
    <m/>
    <m/>
    <m/>
    <m/>
  </r>
  <r>
    <x v="0"/>
    <n v="17"/>
    <s v="MOR"/>
    <x v="16"/>
    <s v="2014-2015"/>
    <x v="4"/>
    <n v="4787"/>
    <n v="2047"/>
    <n v="2740"/>
    <n v="29951"/>
    <n v="68"/>
    <n v="19"/>
    <n v="13"/>
    <n v="4104"/>
    <n v="103220.9696732038"/>
    <n v="2379"/>
    <n v="4693"/>
    <n v="1230"/>
    <m/>
    <m/>
    <n v="2046"/>
    <n v="1119"/>
    <n v="1292"/>
    <n v="1193"/>
    <n v="4787"/>
    <n v="59590257"/>
    <n v="254"/>
    <n v="592"/>
    <n v="2026"/>
    <n v="53"/>
    <m/>
    <m/>
    <m/>
    <n v="2100"/>
    <m/>
    <m/>
    <m/>
    <m/>
    <m/>
    <m/>
    <m/>
    <m/>
    <m/>
    <m/>
    <m/>
    <m/>
    <m/>
    <m/>
    <m/>
    <m/>
    <m/>
  </r>
  <r>
    <x v="0"/>
    <n v="18"/>
    <s v="NAY"/>
    <x v="17"/>
    <s v="2014-2015"/>
    <x v="4"/>
    <n v="2901"/>
    <n v="1099"/>
    <n v="1802"/>
    <n v="18738"/>
    <n v="54"/>
    <n v="8"/>
    <n v="9"/>
    <n v="2675"/>
    <n v="65615.376922982876"/>
    <n v="1361"/>
    <n v="3037"/>
    <n v="655"/>
    <m/>
    <m/>
    <n v="1201"/>
    <n v="587"/>
    <n v="653"/>
    <n v="646"/>
    <n v="2901"/>
    <n v="44532298"/>
    <n v="124"/>
    <n v="399"/>
    <n v="978"/>
    <n v="48"/>
    <m/>
    <m/>
    <m/>
    <n v="0"/>
    <m/>
    <m/>
    <m/>
    <m/>
    <m/>
    <m/>
    <m/>
    <m/>
    <m/>
    <m/>
    <m/>
    <m/>
    <m/>
    <m/>
    <m/>
    <m/>
    <m/>
  </r>
  <r>
    <x v="0"/>
    <n v="19"/>
    <s v="NL"/>
    <x v="18"/>
    <s v="2014-2015"/>
    <x v="4"/>
    <n v="17771"/>
    <n v="7442"/>
    <n v="10329"/>
    <n v="74027"/>
    <n v="250"/>
    <n v="52"/>
    <n v="80"/>
    <n v="14825"/>
    <n v="260623.0422343692"/>
    <n v="9172"/>
    <n v="17191"/>
    <n v="3888"/>
    <m/>
    <m/>
    <n v="6947"/>
    <n v="3522"/>
    <n v="3199"/>
    <n v="3134"/>
    <n v="17771"/>
    <n v="184722995"/>
    <n v="904"/>
    <n v="1734"/>
    <n v="42589"/>
    <n v="1144"/>
    <m/>
    <m/>
    <m/>
    <n v="39610"/>
    <n v="588"/>
    <m/>
    <m/>
    <m/>
    <m/>
    <m/>
    <m/>
    <m/>
    <m/>
    <m/>
    <m/>
    <m/>
    <m/>
    <m/>
    <m/>
    <m/>
    <m/>
  </r>
  <r>
    <x v="1"/>
    <n v="20"/>
    <s v="OAX"/>
    <x v="19"/>
    <s v="2014-2015"/>
    <x v="4"/>
    <n v="6254"/>
    <n v="2259"/>
    <n v="3995"/>
    <n v="64296"/>
    <n v="107"/>
    <n v="12"/>
    <n v="33"/>
    <n v="4947"/>
    <n v="242911.31360360072"/>
    <n v="2817"/>
    <n v="6603"/>
    <n v="1551"/>
    <m/>
    <m/>
    <n v="2793"/>
    <n v="1369"/>
    <n v="1194"/>
    <n v="931"/>
    <m/>
    <m/>
    <n v="380"/>
    <n v="530"/>
    <n v="2196"/>
    <n v="119"/>
    <m/>
    <m/>
    <m/>
    <n v="737"/>
    <m/>
    <m/>
    <m/>
    <m/>
    <m/>
    <m/>
    <m/>
    <m/>
    <m/>
    <m/>
    <m/>
    <m/>
    <m/>
    <m/>
    <m/>
    <m/>
    <m/>
  </r>
  <r>
    <x v="0"/>
    <n v="21"/>
    <s v="PUE"/>
    <x v="20"/>
    <s v="2014-2015"/>
    <x v="4"/>
    <n v="7170"/>
    <n v="2818"/>
    <n v="4352"/>
    <n v="100208"/>
    <n v="144"/>
    <n v="36"/>
    <n v="56"/>
    <n v="6088"/>
    <n v="366757.92912014597"/>
    <n v="3961"/>
    <n v="7277"/>
    <n v="1957"/>
    <m/>
    <m/>
    <n v="3180"/>
    <n v="1712"/>
    <n v="1760"/>
    <n v="1693"/>
    <n v="7170"/>
    <n v="127235974"/>
    <n v="403"/>
    <n v="898"/>
    <n v="4857"/>
    <n v="214"/>
    <m/>
    <m/>
    <m/>
    <n v="5060"/>
    <m/>
    <m/>
    <m/>
    <m/>
    <m/>
    <m/>
    <m/>
    <m/>
    <m/>
    <m/>
    <m/>
    <m/>
    <m/>
    <m/>
    <m/>
    <m/>
    <m/>
  </r>
  <r>
    <x v="0"/>
    <n v="22"/>
    <s v="QRO"/>
    <x v="21"/>
    <s v="2014-2015"/>
    <x v="4"/>
    <n v="3442"/>
    <n v="1476"/>
    <n v="1966"/>
    <n v="28960"/>
    <n v="55"/>
    <n v="13"/>
    <n v="29"/>
    <n v="2953"/>
    <n v="113567.57967282939"/>
    <n v="2233"/>
    <n v="3224"/>
    <n v="763"/>
    <m/>
    <m/>
    <n v="1218"/>
    <n v="716"/>
    <n v="703"/>
    <n v="615"/>
    <n v="3442"/>
    <n v="39171273"/>
    <n v="254"/>
    <n v="357"/>
    <n v="1933"/>
    <n v="6"/>
    <m/>
    <m/>
    <m/>
    <n v="0"/>
    <m/>
    <m/>
    <m/>
    <m/>
    <m/>
    <m/>
    <m/>
    <m/>
    <m/>
    <m/>
    <m/>
    <m/>
    <m/>
    <m/>
    <m/>
    <m/>
    <m/>
  </r>
  <r>
    <x v="0"/>
    <n v="23"/>
    <s v="QROO"/>
    <x v="22"/>
    <s v="2014-2015"/>
    <x v="4"/>
    <n v="8119"/>
    <n v="2777"/>
    <n v="5342"/>
    <n v="19254"/>
    <n v="104"/>
    <n v="18"/>
    <n v="29"/>
    <n v="6515"/>
    <n v="81354.429813431314"/>
    <n v="3265"/>
    <n v="8835"/>
    <n v="2037"/>
    <m/>
    <m/>
    <n v="3176"/>
    <n v="1843"/>
    <n v="1858"/>
    <n v="1793"/>
    <n v="8119"/>
    <n v="84993349"/>
    <n v="413"/>
    <n v="751"/>
    <n v="4110"/>
    <n v="231"/>
    <m/>
    <m/>
    <m/>
    <n v="1255"/>
    <m/>
    <m/>
    <m/>
    <m/>
    <m/>
    <m/>
    <m/>
    <m/>
    <m/>
    <m/>
    <m/>
    <m/>
    <m/>
    <m/>
    <m/>
    <m/>
    <m/>
  </r>
  <r>
    <x v="0"/>
    <n v="24"/>
    <s v="SLP"/>
    <x v="23"/>
    <s v="2014-2015"/>
    <x v="4"/>
    <n v="5248"/>
    <n v="2096"/>
    <n v="3152"/>
    <n v="44581"/>
    <n v="85"/>
    <n v="25"/>
    <n v="28"/>
    <n v="4189"/>
    <n v="162096.19286616868"/>
    <n v="2587"/>
    <n v="5373"/>
    <n v="1212"/>
    <m/>
    <m/>
    <n v="2310"/>
    <n v="1075"/>
    <n v="1099"/>
    <n v="1058"/>
    <n v="5248"/>
    <n v="74400637"/>
    <n v="330"/>
    <n v="353"/>
    <n v="6288"/>
    <n v="137"/>
    <m/>
    <m/>
    <m/>
    <n v="148"/>
    <m/>
    <m/>
    <m/>
    <m/>
    <m/>
    <m/>
    <m/>
    <m/>
    <m/>
    <m/>
    <m/>
    <m/>
    <m/>
    <m/>
    <m/>
    <m/>
    <m/>
  </r>
  <r>
    <x v="0"/>
    <n v="25"/>
    <s v="SIN"/>
    <x v="24"/>
    <s v="2014-2015"/>
    <x v="4"/>
    <n v="8710"/>
    <n v="3009"/>
    <n v="5701"/>
    <n v="42315"/>
    <n v="183"/>
    <n v="51"/>
    <n v="52"/>
    <n v="7519"/>
    <n v="166457.72226850703"/>
    <n v="3539"/>
    <n v="9306"/>
    <n v="2357"/>
    <m/>
    <m/>
    <n v="3737"/>
    <n v="2199"/>
    <n v="2310"/>
    <n v="2282"/>
    <n v="8710"/>
    <n v="188341290"/>
    <n v="610"/>
    <n v="941"/>
    <n v="3570"/>
    <n v="326"/>
    <m/>
    <m/>
    <m/>
    <n v="246"/>
    <m/>
    <m/>
    <m/>
    <m/>
    <m/>
    <m/>
    <m/>
    <m/>
    <m/>
    <m/>
    <m/>
    <m/>
    <m/>
    <m/>
    <m/>
    <m/>
    <m/>
  </r>
  <r>
    <x v="0"/>
    <n v="26"/>
    <s v="SON"/>
    <x v="25"/>
    <s v="2014-2015"/>
    <x v="4"/>
    <n v="13206"/>
    <n v="5686"/>
    <n v="7520"/>
    <n v="47196"/>
    <n v="243"/>
    <n v="36"/>
    <n v="47"/>
    <n v="11132"/>
    <n v="157947.49966147181"/>
    <n v="5848"/>
    <n v="12900"/>
    <n v="2678"/>
    <m/>
    <m/>
    <n v="5937"/>
    <n v="2409"/>
    <n v="2545"/>
    <n v="2323"/>
    <n v="13206"/>
    <n v="191095252"/>
    <n v="517"/>
    <n v="1019"/>
    <n v="10087"/>
    <n v="1322"/>
    <m/>
    <m/>
    <m/>
    <n v="61"/>
    <m/>
    <m/>
    <m/>
    <m/>
    <m/>
    <m/>
    <m/>
    <m/>
    <m/>
    <m/>
    <m/>
    <m/>
    <m/>
    <m/>
    <m/>
    <m/>
    <m/>
  </r>
  <r>
    <x v="0"/>
    <n v="27"/>
    <s v="TAB"/>
    <x v="26"/>
    <s v="2014-2015"/>
    <x v="4"/>
    <n v="5650"/>
    <n v="2162"/>
    <n v="3488"/>
    <n v="37096"/>
    <n v="76"/>
    <n v="22"/>
    <n v="25"/>
    <n v="4790"/>
    <n v="134485.23354493981"/>
    <n v="2162"/>
    <n v="5452"/>
    <n v="1251"/>
    <m/>
    <m/>
    <n v="1976"/>
    <n v="1082"/>
    <n v="1138"/>
    <n v="1102"/>
    <n v="5650"/>
    <n v="94704706"/>
    <n v="297"/>
    <n v="497"/>
    <n v="1647"/>
    <n v="18"/>
    <m/>
    <m/>
    <m/>
    <n v="494"/>
    <m/>
    <m/>
    <m/>
    <m/>
    <m/>
    <m/>
    <m/>
    <m/>
    <m/>
    <m/>
    <m/>
    <m/>
    <m/>
    <m/>
    <m/>
    <m/>
    <m/>
  </r>
  <r>
    <x v="0"/>
    <n v="28"/>
    <s v="TAMPS"/>
    <x v="27"/>
    <s v="2014-2015"/>
    <x v="4"/>
    <n v="9281"/>
    <n v="3511"/>
    <n v="5770"/>
    <n v="45178"/>
    <n v="147"/>
    <n v="22"/>
    <n v="49"/>
    <n v="8044"/>
    <n v="186927.85501677764"/>
    <n v="4017"/>
    <n v="9144"/>
    <n v="1900"/>
    <m/>
    <m/>
    <n v="3417"/>
    <n v="1728"/>
    <n v="1672"/>
    <n v="1591"/>
    <n v="9281"/>
    <n v="147355193"/>
    <n v="408"/>
    <n v="955"/>
    <n v="11238"/>
    <n v="213"/>
    <m/>
    <m/>
    <m/>
    <n v="59"/>
    <n v="49"/>
    <m/>
    <m/>
    <m/>
    <m/>
    <m/>
    <m/>
    <m/>
    <m/>
    <m/>
    <m/>
    <m/>
    <m/>
    <m/>
    <m/>
    <m/>
    <m/>
  </r>
  <r>
    <x v="0"/>
    <n v="29"/>
    <s v="TLAX"/>
    <x v="28"/>
    <s v="2014-2015"/>
    <x v="4"/>
    <n v="3081"/>
    <n v="1224"/>
    <n v="1857"/>
    <n v="20703"/>
    <n v="43"/>
    <n v="11"/>
    <n v="17"/>
    <n v="2556"/>
    <n v="73465.171265943092"/>
    <n v="1374"/>
    <n v="3098"/>
    <n v="716"/>
    <m/>
    <m/>
    <n v="1065"/>
    <n v="618"/>
    <n v="628"/>
    <n v="618"/>
    <n v="3081"/>
    <n v="35904311"/>
    <n v="188"/>
    <n v="372"/>
    <n v="740"/>
    <n v="98"/>
    <m/>
    <m/>
    <m/>
    <n v="0"/>
    <m/>
    <m/>
    <m/>
    <m/>
    <m/>
    <m/>
    <m/>
    <m/>
    <m/>
    <m/>
    <m/>
    <m/>
    <m/>
    <m/>
    <m/>
    <m/>
    <m/>
  </r>
  <r>
    <x v="0"/>
    <n v="30"/>
    <s v="VER"/>
    <x v="29"/>
    <s v="2014-2015"/>
    <x v="4"/>
    <n v="9124"/>
    <n v="3471"/>
    <n v="5653"/>
    <n v="126662"/>
    <n v="175"/>
    <n v="36"/>
    <n v="74"/>
    <n v="7781"/>
    <n v="452203.20298290963"/>
    <n v="4973"/>
    <n v="9096"/>
    <n v="2328"/>
    <m/>
    <m/>
    <n v="3724"/>
    <n v="2162"/>
    <n v="2105"/>
    <n v="2017"/>
    <n v="9124"/>
    <n v="193254123"/>
    <n v="565"/>
    <n v="1217"/>
    <n v="7761"/>
    <n v="198"/>
    <m/>
    <m/>
    <m/>
    <n v="1150"/>
    <n v="563"/>
    <m/>
    <m/>
    <m/>
    <m/>
    <m/>
    <m/>
    <m/>
    <m/>
    <m/>
    <m/>
    <m/>
    <m/>
    <m/>
    <m/>
    <m/>
    <m/>
  </r>
  <r>
    <x v="0"/>
    <n v="31"/>
    <s v="YUC"/>
    <x v="30"/>
    <s v="2014-2015"/>
    <x v="4"/>
    <n v="4704"/>
    <n v="1794"/>
    <n v="2910"/>
    <n v="30399"/>
    <n v="63"/>
    <n v="14"/>
    <n v="24"/>
    <n v="3574"/>
    <n v="112099.1667818322"/>
    <n v="2327"/>
    <n v="4673"/>
    <n v="950"/>
    <m/>
    <m/>
    <n v="1953"/>
    <n v="849"/>
    <n v="998"/>
    <n v="869"/>
    <n v="4704"/>
    <n v="85719142"/>
    <n v="273"/>
    <n v="360"/>
    <n v="5669"/>
    <n v="11"/>
    <m/>
    <m/>
    <m/>
    <n v="1436"/>
    <m/>
    <m/>
    <m/>
    <m/>
    <m/>
    <m/>
    <m/>
    <m/>
    <m/>
    <m/>
    <m/>
    <m/>
    <m/>
    <m/>
    <m/>
    <m/>
    <m/>
  </r>
  <r>
    <x v="0"/>
    <n v="32"/>
    <s v="ZAC"/>
    <x v="31"/>
    <s v="2014-2015"/>
    <x v="4"/>
    <n v="1694"/>
    <n v="695"/>
    <n v="999"/>
    <n v="26654"/>
    <n v="46"/>
    <n v="16"/>
    <n v="7"/>
    <n v="1355"/>
    <n v="91323.11722019731"/>
    <n v="790"/>
    <n v="1759"/>
    <n v="342"/>
    <m/>
    <m/>
    <n v="704"/>
    <n v="276"/>
    <n v="287"/>
    <n v="283"/>
    <n v="1694"/>
    <n v="31289967"/>
    <n v="85"/>
    <n v="164"/>
    <n v="2318"/>
    <n v="316"/>
    <m/>
    <m/>
    <m/>
    <n v="252"/>
    <m/>
    <m/>
    <m/>
    <m/>
    <m/>
    <m/>
    <m/>
    <m/>
    <m/>
    <m/>
    <m/>
    <m/>
    <m/>
    <m/>
    <m/>
    <m/>
    <m/>
  </r>
  <r>
    <x v="2"/>
    <n v="33"/>
    <s v="OTRO"/>
    <x v="32"/>
    <s v="2014-2015"/>
    <x v="4"/>
    <m/>
    <m/>
    <m/>
    <m/>
    <m/>
    <m/>
    <m/>
    <m/>
    <m/>
    <m/>
    <m/>
    <m/>
    <m/>
    <m/>
    <m/>
    <m/>
    <m/>
    <m/>
    <m/>
    <m/>
    <m/>
    <m/>
    <m/>
    <m/>
    <m/>
    <m/>
    <m/>
    <m/>
    <m/>
    <m/>
    <m/>
    <m/>
    <m/>
    <m/>
    <m/>
    <m/>
    <m/>
    <m/>
    <m/>
    <m/>
    <m/>
    <m/>
    <m/>
    <m/>
    <m/>
  </r>
  <r>
    <x v="1"/>
    <n v="0"/>
    <s v="ON"/>
    <x v="33"/>
    <s v="2014-2015"/>
    <x v="4"/>
    <m/>
    <m/>
    <m/>
    <m/>
    <m/>
    <m/>
    <m/>
    <m/>
    <m/>
    <m/>
    <m/>
    <m/>
    <m/>
    <m/>
    <m/>
    <m/>
    <m/>
    <m/>
    <m/>
    <m/>
    <m/>
    <m/>
    <m/>
    <m/>
    <m/>
    <m/>
    <m/>
    <n v="769"/>
    <m/>
    <n v="282670"/>
    <n v="1422011.4"/>
    <n v="1422011.4"/>
    <n v="1425249.5"/>
    <n v="1296985"/>
    <n v="1296985"/>
    <n v="1409321.5"/>
    <n v="1412252.6"/>
    <n v="12690"/>
    <n v="12997"/>
    <n v="111761.9"/>
    <n v="1422011.4"/>
    <n v="105208.6"/>
    <n v="115000"/>
    <n v="1422011.4"/>
    <n v="1425249.5"/>
  </r>
  <r>
    <x v="0"/>
    <n v="1"/>
    <s v="AGS"/>
    <x v="0"/>
    <s v="2015-2016"/>
    <x v="5"/>
    <n v="4664"/>
    <n v="1765"/>
    <n v="2899"/>
    <n v="24393"/>
    <n v="84"/>
    <n v="14"/>
    <n v="19"/>
    <n v="4285"/>
    <n v="75584.213108640746"/>
    <n v="2733"/>
    <n v="4702"/>
    <n v="1283"/>
    <m/>
    <m/>
    <n v="1859"/>
    <n v="1091"/>
    <n v="1195"/>
    <n v="1104"/>
    <n v="4664"/>
    <n v="55996773"/>
    <n v="299"/>
    <n v="451"/>
    <n v="2738"/>
    <n v="351"/>
    <m/>
    <m/>
    <m/>
    <n v="486"/>
    <m/>
    <m/>
    <m/>
    <m/>
    <m/>
    <m/>
    <m/>
    <m/>
    <m/>
    <m/>
    <m/>
    <m/>
    <m/>
    <m/>
    <m/>
    <m/>
    <m/>
  </r>
  <r>
    <x v="0"/>
    <n v="2"/>
    <s v="BC"/>
    <x v="1"/>
    <s v="2015-2016"/>
    <x v="5"/>
    <n v="8256"/>
    <n v="3651"/>
    <n v="4605"/>
    <n v="54941"/>
    <n v="118"/>
    <n v="16"/>
    <n v="25"/>
    <n v="6270"/>
    <n v="190856.64998810878"/>
    <n v="4071"/>
    <n v="8064"/>
    <n v="1768"/>
    <m/>
    <m/>
    <n v="3424"/>
    <n v="1519"/>
    <n v="1508"/>
    <n v="1422"/>
    <n v="8256"/>
    <n v="119937277"/>
    <n v="372"/>
    <n v="627"/>
    <n v="2365"/>
    <n v="37"/>
    <m/>
    <m/>
    <m/>
    <n v="65"/>
    <n v="1083"/>
    <m/>
    <m/>
    <m/>
    <m/>
    <m/>
    <m/>
    <m/>
    <m/>
    <m/>
    <m/>
    <m/>
    <m/>
    <m/>
    <m/>
    <m/>
    <m/>
  </r>
  <r>
    <x v="0"/>
    <n v="3"/>
    <s v="BCS"/>
    <x v="2"/>
    <s v="2015-2016"/>
    <x v="5"/>
    <n v="1875"/>
    <n v="660"/>
    <n v="1215"/>
    <n v="12036"/>
    <n v="17"/>
    <n v="6"/>
    <n v="2"/>
    <n v="1313"/>
    <n v="40261.144968133696"/>
    <n v="909"/>
    <n v="1962"/>
    <n v="492"/>
    <m/>
    <m/>
    <n v="858"/>
    <n v="429"/>
    <n v="331"/>
    <n v="308"/>
    <n v="1875"/>
    <n v="30051110"/>
    <n v="99"/>
    <n v="217"/>
    <n v="707"/>
    <n v="0"/>
    <m/>
    <m/>
    <m/>
    <n v="39"/>
    <m/>
    <m/>
    <m/>
    <m/>
    <m/>
    <m/>
    <m/>
    <m/>
    <m/>
    <m/>
    <m/>
    <m/>
    <m/>
    <m/>
    <m/>
    <m/>
    <m/>
  </r>
  <r>
    <x v="0"/>
    <n v="4"/>
    <s v="CAMP"/>
    <x v="3"/>
    <s v="2015-2016"/>
    <x v="5"/>
    <n v="1890"/>
    <n v="753"/>
    <n v="1137"/>
    <n v="13297"/>
    <n v="38"/>
    <n v="6"/>
    <n v="17"/>
    <n v="1260"/>
    <n v="48789.089747920065"/>
    <n v="893"/>
    <n v="1918"/>
    <n v="414"/>
    <m/>
    <m/>
    <n v="802"/>
    <n v="367"/>
    <n v="321"/>
    <n v="292"/>
    <n v="1890"/>
    <n v="35958415"/>
    <n v="105"/>
    <n v="311"/>
    <n v="421"/>
    <n v="84"/>
    <m/>
    <m/>
    <m/>
    <n v="292"/>
    <m/>
    <m/>
    <m/>
    <m/>
    <m/>
    <m/>
    <m/>
    <m/>
    <m/>
    <m/>
    <m/>
    <m/>
    <m/>
    <m/>
    <m/>
    <m/>
    <m/>
  </r>
  <r>
    <x v="0"/>
    <n v="7"/>
    <s v="CHIAP"/>
    <x v="4"/>
    <s v="2015-2016"/>
    <x v="5"/>
    <n v="7432"/>
    <n v="2774"/>
    <n v="4658"/>
    <n v="92580"/>
    <n v="148"/>
    <n v="19"/>
    <n v="42"/>
    <n v="5860"/>
    <n v="340773.49278888613"/>
    <n v="3501"/>
    <n v="7561"/>
    <n v="1876"/>
    <m/>
    <m/>
    <n v="2882"/>
    <n v="1634"/>
    <n v="1826"/>
    <n v="1714"/>
    <n v="7432"/>
    <n v="139280587"/>
    <n v="431"/>
    <n v="679"/>
    <n v="4628"/>
    <n v="46"/>
    <m/>
    <m/>
    <m/>
    <n v="310"/>
    <m/>
    <m/>
    <m/>
    <m/>
    <m/>
    <m/>
    <m/>
    <m/>
    <m/>
    <m/>
    <m/>
    <m/>
    <m/>
    <m/>
    <m/>
    <m/>
    <m/>
  </r>
  <r>
    <x v="0"/>
    <n v="8"/>
    <s v="CHIH"/>
    <x v="5"/>
    <s v="2015-2016"/>
    <x v="5"/>
    <n v="9712"/>
    <n v="4125"/>
    <n v="5587"/>
    <n v="56115"/>
    <n v="154"/>
    <n v="25"/>
    <n v="45"/>
    <n v="8331"/>
    <n v="202192.57072636313"/>
    <n v="4925"/>
    <n v="9728"/>
    <n v="2287"/>
    <m/>
    <m/>
    <n v="4195"/>
    <n v="1992"/>
    <n v="1732"/>
    <n v="1675"/>
    <n v="9712"/>
    <n v="133276489"/>
    <n v="558"/>
    <n v="917"/>
    <n v="2680"/>
    <n v="356"/>
    <m/>
    <m/>
    <m/>
    <n v="243"/>
    <n v="851"/>
    <m/>
    <m/>
    <m/>
    <m/>
    <m/>
    <m/>
    <m/>
    <m/>
    <m/>
    <m/>
    <m/>
    <m/>
    <m/>
    <m/>
    <m/>
    <m/>
  </r>
  <r>
    <x v="1"/>
    <n v="9"/>
    <s v="CDMX"/>
    <x v="6"/>
    <s v="2015-2016"/>
    <x v="5"/>
    <n v="44572"/>
    <n v="19962"/>
    <n v="24610"/>
    <n v="149491"/>
    <n v="545"/>
    <n v="93"/>
    <n v="166"/>
    <n v="34314"/>
    <n v="404322.29056727118"/>
    <n v="24975"/>
    <n v="43160"/>
    <n v="8536"/>
    <m/>
    <m/>
    <n v="17932"/>
    <n v="6975"/>
    <n v="7626"/>
    <n v="5241"/>
    <m/>
    <m/>
    <n v="2166"/>
    <n v="3225"/>
    <n v="8979"/>
    <n v="839"/>
    <m/>
    <m/>
    <m/>
    <n v="1770"/>
    <m/>
    <m/>
    <m/>
    <m/>
    <m/>
    <m/>
    <m/>
    <m/>
    <m/>
    <m/>
    <m/>
    <m/>
    <m/>
    <m/>
    <m/>
    <m/>
    <m/>
  </r>
  <r>
    <x v="0"/>
    <n v="5"/>
    <s v="COAH"/>
    <x v="7"/>
    <s v="2015-2016"/>
    <x v="5"/>
    <n v="8924"/>
    <n v="4120"/>
    <n v="4804"/>
    <n v="44444"/>
    <n v="126"/>
    <n v="24"/>
    <n v="43"/>
    <n v="7619"/>
    <n v="164151.24862727136"/>
    <n v="5008"/>
    <n v="7918"/>
    <n v="1920"/>
    <m/>
    <m/>
    <n v="3210"/>
    <n v="1732"/>
    <n v="1840"/>
    <n v="1795"/>
    <n v="8924"/>
    <n v="130737471"/>
    <n v="423"/>
    <n v="846"/>
    <n v="500"/>
    <n v="42"/>
    <m/>
    <m/>
    <m/>
    <n v="49"/>
    <m/>
    <m/>
    <m/>
    <m/>
    <m/>
    <m/>
    <m/>
    <m/>
    <m/>
    <m/>
    <m/>
    <m/>
    <m/>
    <m/>
    <m/>
    <m/>
    <m/>
  </r>
  <r>
    <x v="0"/>
    <n v="6"/>
    <s v="COL"/>
    <x v="8"/>
    <s v="2015-2016"/>
    <x v="5"/>
    <n v="1904"/>
    <n v="883"/>
    <n v="1021"/>
    <n v="9679"/>
    <n v="41"/>
    <n v="5"/>
    <n v="10"/>
    <n v="1155"/>
    <n v="37724.691315219032"/>
    <n v="1004"/>
    <n v="1906"/>
    <n v="392"/>
    <m/>
    <m/>
    <n v="837"/>
    <n v="313"/>
    <n v="323"/>
    <n v="316"/>
    <n v="1904"/>
    <n v="36314796"/>
    <n v="122"/>
    <n v="313"/>
    <n v="578"/>
    <n v="60"/>
    <m/>
    <m/>
    <m/>
    <n v="75"/>
    <m/>
    <m/>
    <m/>
    <m/>
    <m/>
    <m/>
    <m/>
    <m/>
    <m/>
    <m/>
    <m/>
    <m/>
    <m/>
    <m/>
    <m/>
    <m/>
    <m/>
  </r>
  <r>
    <x v="0"/>
    <n v="10"/>
    <s v="DGO"/>
    <x v="9"/>
    <s v="2015-2016"/>
    <x v="5"/>
    <n v="2338"/>
    <n v="936"/>
    <n v="1402"/>
    <n v="28058"/>
    <n v="45"/>
    <n v="13"/>
    <n v="11"/>
    <n v="1840"/>
    <n v="103820.46888724105"/>
    <n v="1091"/>
    <n v="2483"/>
    <n v="483"/>
    <m/>
    <m/>
    <n v="1103"/>
    <n v="435"/>
    <n v="423"/>
    <n v="299"/>
    <n v="2338"/>
    <n v="35482547"/>
    <n v="159"/>
    <n v="248"/>
    <n v="717"/>
    <n v="166"/>
    <m/>
    <m/>
    <m/>
    <n v="71"/>
    <m/>
    <m/>
    <m/>
    <m/>
    <m/>
    <m/>
    <m/>
    <m/>
    <m/>
    <m/>
    <m/>
    <m/>
    <m/>
    <m/>
    <m/>
    <m/>
    <m/>
  </r>
  <r>
    <x v="0"/>
    <n v="11"/>
    <s v="GTO"/>
    <x v="10"/>
    <s v="2015-2016"/>
    <x v="5"/>
    <n v="17490"/>
    <n v="6444"/>
    <n v="11046"/>
    <n v="99912"/>
    <n v="238"/>
    <n v="56"/>
    <n v="70"/>
    <n v="13758"/>
    <n v="346948.29293777305"/>
    <n v="10759"/>
    <n v="17733"/>
    <n v="4552"/>
    <m/>
    <m/>
    <n v="6684"/>
    <n v="4179"/>
    <n v="3874"/>
    <n v="3774"/>
    <n v="17490"/>
    <n v="213348943"/>
    <n v="901"/>
    <n v="1959"/>
    <n v="30302"/>
    <n v="765"/>
    <m/>
    <m/>
    <m/>
    <n v="8014"/>
    <n v="9386"/>
    <m/>
    <m/>
    <m/>
    <m/>
    <m/>
    <m/>
    <m/>
    <m/>
    <m/>
    <m/>
    <m/>
    <m/>
    <m/>
    <m/>
    <m/>
    <m/>
  </r>
  <r>
    <x v="0"/>
    <n v="12"/>
    <s v="GRO"/>
    <x v="11"/>
    <s v="2015-2016"/>
    <x v="5"/>
    <n v="6612"/>
    <n v="2626"/>
    <n v="3986"/>
    <n v="62910"/>
    <n v="123"/>
    <n v="24"/>
    <n v="42"/>
    <n v="5150"/>
    <n v="226435.10807310266"/>
    <n v="3474"/>
    <n v="6743"/>
    <n v="1638"/>
    <m/>
    <m/>
    <n v="2844"/>
    <n v="1457"/>
    <n v="1482"/>
    <n v="1088"/>
    <n v="6612"/>
    <n v="116346947"/>
    <n v="307"/>
    <n v="554"/>
    <n v="1571"/>
    <n v="1186"/>
    <m/>
    <m/>
    <m/>
    <n v="1462"/>
    <m/>
    <m/>
    <m/>
    <m/>
    <m/>
    <m/>
    <m/>
    <m/>
    <m/>
    <m/>
    <m/>
    <m/>
    <m/>
    <m/>
    <m/>
    <m/>
    <m/>
  </r>
  <r>
    <x v="0"/>
    <n v="13"/>
    <s v="HGO"/>
    <x v="12"/>
    <s v="2015-2016"/>
    <x v="5"/>
    <n v="3713"/>
    <n v="1678"/>
    <n v="2035"/>
    <n v="52292"/>
    <n v="65"/>
    <n v="23"/>
    <n v="28"/>
    <n v="3104"/>
    <n v="160411.42558593757"/>
    <n v="1972"/>
    <n v="3498"/>
    <n v="865"/>
    <m/>
    <m/>
    <n v="1523"/>
    <n v="691"/>
    <n v="754"/>
    <n v="745"/>
    <n v="3713"/>
    <n v="55787690"/>
    <n v="220"/>
    <n v="415"/>
    <n v="599"/>
    <n v="287"/>
    <m/>
    <m/>
    <m/>
    <n v="274"/>
    <m/>
    <m/>
    <m/>
    <m/>
    <m/>
    <m/>
    <m/>
    <m/>
    <m/>
    <m/>
    <m/>
    <m/>
    <m/>
    <m/>
    <m/>
    <m/>
    <m/>
  </r>
  <r>
    <x v="0"/>
    <n v="14"/>
    <s v="JAL"/>
    <x v="13"/>
    <s v="2015-2016"/>
    <x v="5"/>
    <n v="14614"/>
    <n v="5953"/>
    <n v="8661"/>
    <n v="134984"/>
    <n v="255"/>
    <n v="32"/>
    <n v="78"/>
    <n v="11091"/>
    <n v="434574.23822360497"/>
    <n v="6291"/>
    <n v="14848"/>
    <n v="3414"/>
    <m/>
    <m/>
    <n v="5963"/>
    <n v="3081"/>
    <n v="3107"/>
    <n v="2898"/>
    <n v="14614"/>
    <n v="226341467"/>
    <n v="880"/>
    <n v="2137"/>
    <n v="4643"/>
    <n v="606"/>
    <m/>
    <m/>
    <m/>
    <n v="463"/>
    <n v="446"/>
    <m/>
    <m/>
    <m/>
    <m/>
    <m/>
    <m/>
    <m/>
    <m/>
    <m/>
    <m/>
    <m/>
    <m/>
    <m/>
    <m/>
    <m/>
    <m/>
  </r>
  <r>
    <x v="0"/>
    <n v="15"/>
    <s v="MEX"/>
    <x v="14"/>
    <s v="2015-2016"/>
    <x v="5"/>
    <n v="47574"/>
    <n v="20621"/>
    <n v="26953"/>
    <n v="278453"/>
    <n v="741"/>
    <n v="142"/>
    <n v="214"/>
    <n v="39966"/>
    <n v="911712.24742897251"/>
    <n v="20736"/>
    <n v="46706"/>
    <n v="10258"/>
    <m/>
    <m/>
    <n v="19660"/>
    <n v="8432"/>
    <n v="8724"/>
    <n v="7492"/>
    <n v="47574"/>
    <n v="657722639"/>
    <n v="2293"/>
    <n v="3926"/>
    <n v="17410"/>
    <n v="909"/>
    <m/>
    <m/>
    <m/>
    <n v="6308"/>
    <n v="801"/>
    <m/>
    <m/>
    <m/>
    <m/>
    <m/>
    <m/>
    <m/>
    <m/>
    <m/>
    <m/>
    <m/>
    <m/>
    <m/>
    <m/>
    <m/>
    <m/>
  </r>
  <r>
    <x v="0"/>
    <n v="16"/>
    <s v="MICH"/>
    <x v="15"/>
    <s v="2015-2016"/>
    <x v="5"/>
    <n v="11182"/>
    <n v="4395"/>
    <n v="6787"/>
    <n v="69610"/>
    <n v="226"/>
    <n v="41"/>
    <n v="63"/>
    <n v="8902"/>
    <n v="263050.95224898576"/>
    <n v="5762"/>
    <n v="11679"/>
    <n v="3026"/>
    <m/>
    <m/>
    <n v="5099"/>
    <n v="2482"/>
    <n v="2342"/>
    <n v="2059"/>
    <n v="11182"/>
    <n v="180418872"/>
    <n v="466"/>
    <n v="1093"/>
    <n v="1758"/>
    <n v="486"/>
    <m/>
    <m/>
    <m/>
    <n v="5"/>
    <m/>
    <m/>
    <m/>
    <m/>
    <m/>
    <m/>
    <m/>
    <m/>
    <m/>
    <m/>
    <m/>
    <m/>
    <m/>
    <m/>
    <m/>
    <m/>
    <m/>
  </r>
  <r>
    <x v="0"/>
    <n v="17"/>
    <s v="MOR"/>
    <x v="16"/>
    <s v="2015-2016"/>
    <x v="5"/>
    <n v="4599"/>
    <n v="1929"/>
    <n v="2670"/>
    <n v="32523"/>
    <n v="68"/>
    <n v="19"/>
    <n v="13"/>
    <n v="3728"/>
    <n v="102703.04808293736"/>
    <n v="2428"/>
    <n v="4787"/>
    <n v="1255"/>
    <m/>
    <m/>
    <n v="2002"/>
    <n v="1130"/>
    <n v="1119"/>
    <n v="1008"/>
    <n v="4599"/>
    <n v="61327462"/>
    <n v="245"/>
    <n v="592"/>
    <n v="3377"/>
    <n v="512"/>
    <m/>
    <m/>
    <m/>
    <n v="1995"/>
    <m/>
    <m/>
    <m/>
    <m/>
    <m/>
    <m/>
    <m/>
    <m/>
    <m/>
    <m/>
    <m/>
    <m/>
    <m/>
    <m/>
    <m/>
    <m/>
    <m/>
  </r>
  <r>
    <x v="0"/>
    <n v="18"/>
    <s v="NAY"/>
    <x v="17"/>
    <s v="2015-2016"/>
    <x v="5"/>
    <n v="3019"/>
    <n v="1264"/>
    <n v="1755"/>
    <n v="20436"/>
    <n v="54"/>
    <n v="8"/>
    <n v="9"/>
    <n v="2603"/>
    <n v="66019.247600487812"/>
    <n v="1486"/>
    <n v="2901"/>
    <n v="683"/>
    <m/>
    <m/>
    <n v="1267"/>
    <n v="620"/>
    <n v="587"/>
    <n v="579"/>
    <n v="3019"/>
    <n v="45890293"/>
    <n v="124"/>
    <n v="399"/>
    <n v="289"/>
    <n v="70"/>
    <m/>
    <m/>
    <m/>
    <n v="0"/>
    <m/>
    <m/>
    <m/>
    <m/>
    <m/>
    <m/>
    <m/>
    <m/>
    <m/>
    <m/>
    <m/>
    <m/>
    <m/>
    <m/>
    <m/>
    <m/>
    <m/>
  </r>
  <r>
    <x v="0"/>
    <n v="19"/>
    <s v="NL"/>
    <x v="18"/>
    <s v="2015-2016"/>
    <x v="5"/>
    <n v="18667"/>
    <n v="8223"/>
    <n v="10444"/>
    <n v="83352"/>
    <n v="250"/>
    <n v="52"/>
    <n v="80"/>
    <n v="14736"/>
    <n v="262574.27570966166"/>
    <n v="11124"/>
    <n v="17771"/>
    <n v="4210"/>
    <m/>
    <m/>
    <n v="7296"/>
    <n v="3797"/>
    <n v="3522"/>
    <n v="3440"/>
    <n v="18667"/>
    <n v="190850231"/>
    <n v="897"/>
    <n v="1734"/>
    <n v="32438"/>
    <n v="1969"/>
    <m/>
    <m/>
    <m/>
    <n v="35553"/>
    <n v="1193"/>
    <m/>
    <m/>
    <m/>
    <m/>
    <m/>
    <m/>
    <m/>
    <m/>
    <m/>
    <m/>
    <m/>
    <m/>
    <m/>
    <m/>
    <m/>
    <m/>
  </r>
  <r>
    <x v="1"/>
    <n v="20"/>
    <s v="OAX"/>
    <x v="19"/>
    <s v="2015-2016"/>
    <x v="5"/>
    <n v="6301"/>
    <n v="2568"/>
    <n v="3733"/>
    <n v="64304"/>
    <n v="107"/>
    <n v="12"/>
    <n v="33"/>
    <n v="5010"/>
    <n v="241009.03331680052"/>
    <n v="3238"/>
    <n v="6254"/>
    <n v="1508"/>
    <m/>
    <m/>
    <n v="2691"/>
    <n v="1316"/>
    <n v="1369"/>
    <n v="890"/>
    <m/>
    <m/>
    <n v="366"/>
    <n v="530"/>
    <n v="2327"/>
    <n v="35"/>
    <m/>
    <m/>
    <m/>
    <n v="602"/>
    <m/>
    <m/>
    <m/>
    <m/>
    <m/>
    <m/>
    <m/>
    <m/>
    <m/>
    <m/>
    <m/>
    <m/>
    <m/>
    <m/>
    <m/>
    <m/>
    <m/>
  </r>
  <r>
    <x v="0"/>
    <n v="21"/>
    <s v="PUE"/>
    <x v="20"/>
    <s v="2015-2016"/>
    <x v="5"/>
    <n v="7128"/>
    <n v="2822"/>
    <n v="4306"/>
    <n v="109274"/>
    <n v="144"/>
    <n v="36"/>
    <n v="56"/>
    <n v="5868"/>
    <n v="367000.54615377309"/>
    <n v="3986"/>
    <n v="7170"/>
    <n v="1873"/>
    <m/>
    <m/>
    <n v="2816"/>
    <n v="1602"/>
    <n v="1712"/>
    <n v="1639"/>
    <n v="7128"/>
    <n v="130865900"/>
    <n v="402"/>
    <n v="898"/>
    <n v="2966"/>
    <n v="173"/>
    <m/>
    <m/>
    <m/>
    <n v="3057"/>
    <m/>
    <m/>
    <m/>
    <m/>
    <m/>
    <m/>
    <m/>
    <m/>
    <m/>
    <m/>
    <m/>
    <m/>
    <m/>
    <m/>
    <m/>
    <m/>
    <m/>
  </r>
  <r>
    <x v="0"/>
    <n v="22"/>
    <s v="QRO"/>
    <x v="21"/>
    <s v="2015-2016"/>
    <x v="5"/>
    <n v="3482"/>
    <n v="1374"/>
    <n v="2108"/>
    <n v="32682"/>
    <n v="55"/>
    <n v="13"/>
    <n v="29"/>
    <n v="2775"/>
    <n v="113446.37951932651"/>
    <n v="2270"/>
    <n v="3442"/>
    <n v="768"/>
    <m/>
    <m/>
    <n v="1219"/>
    <n v="715"/>
    <n v="716"/>
    <n v="646"/>
    <n v="3482"/>
    <n v="40331193"/>
    <n v="267"/>
    <n v="357"/>
    <n v="297"/>
    <n v="49"/>
    <m/>
    <m/>
    <m/>
    <n v="47"/>
    <m/>
    <m/>
    <m/>
    <m/>
    <m/>
    <m/>
    <m/>
    <m/>
    <m/>
    <m/>
    <m/>
    <m/>
    <m/>
    <m/>
    <m/>
    <m/>
    <m/>
  </r>
  <r>
    <x v="0"/>
    <n v="23"/>
    <s v="QROO"/>
    <x v="22"/>
    <s v="2015-2016"/>
    <x v="5"/>
    <n v="8052"/>
    <n v="3286"/>
    <n v="4766"/>
    <n v="21186"/>
    <n v="104"/>
    <n v="18"/>
    <n v="29"/>
    <n v="6335"/>
    <n v="82157.314791918063"/>
    <n v="3800"/>
    <n v="8119"/>
    <n v="2352"/>
    <m/>
    <m/>
    <n v="3687"/>
    <n v="2146"/>
    <n v="1843"/>
    <n v="1734"/>
    <n v="8052"/>
    <n v="87582707"/>
    <n v="405"/>
    <n v="751"/>
    <n v="140"/>
    <n v="56"/>
    <m/>
    <m/>
    <m/>
    <n v="257"/>
    <m/>
    <m/>
    <m/>
    <m/>
    <m/>
    <m/>
    <m/>
    <m/>
    <m/>
    <m/>
    <m/>
    <m/>
    <m/>
    <m/>
    <m/>
    <m/>
    <m/>
  </r>
  <r>
    <x v="0"/>
    <n v="24"/>
    <s v="SLP"/>
    <x v="23"/>
    <s v="2015-2016"/>
    <x v="5"/>
    <n v="5220"/>
    <n v="2258"/>
    <n v="2962"/>
    <n v="48979"/>
    <n v="85"/>
    <n v="25"/>
    <n v="28"/>
    <n v="4052"/>
    <n v="161315.89873923562"/>
    <n v="2783"/>
    <n v="5248"/>
    <n v="1240"/>
    <m/>
    <m/>
    <n v="2196"/>
    <n v="1065"/>
    <n v="1075"/>
    <n v="1011"/>
    <n v="5220"/>
    <n v="76597325"/>
    <n v="319"/>
    <n v="353"/>
    <n v="2880"/>
    <n v="198"/>
    <m/>
    <m/>
    <m/>
    <n v="247"/>
    <m/>
    <m/>
    <m/>
    <m/>
    <m/>
    <m/>
    <m/>
    <m/>
    <m/>
    <m/>
    <m/>
    <m/>
    <m/>
    <m/>
    <m/>
    <m/>
    <m/>
  </r>
  <r>
    <x v="0"/>
    <n v="25"/>
    <s v="SIN"/>
    <x v="24"/>
    <s v="2015-2016"/>
    <x v="5"/>
    <n v="8506"/>
    <n v="3326"/>
    <n v="5180"/>
    <n v="47206"/>
    <n v="183"/>
    <n v="51"/>
    <n v="52"/>
    <n v="7159"/>
    <n v="165717.12517568539"/>
    <n v="3838"/>
    <n v="8710"/>
    <n v="2473"/>
    <m/>
    <m/>
    <n v="3935"/>
    <n v="2267"/>
    <n v="2199"/>
    <n v="2168"/>
    <n v="8506"/>
    <n v="194265438"/>
    <n v="561"/>
    <n v="941"/>
    <n v="774"/>
    <n v="72"/>
    <m/>
    <m/>
    <m/>
    <n v="68"/>
    <m/>
    <m/>
    <m/>
    <m/>
    <m/>
    <m/>
    <m/>
    <m/>
    <m/>
    <m/>
    <m/>
    <m/>
    <m/>
    <m/>
    <m/>
    <m/>
    <m/>
  </r>
  <r>
    <x v="0"/>
    <n v="26"/>
    <s v="SON"/>
    <x v="25"/>
    <s v="2015-2016"/>
    <x v="5"/>
    <n v="14044"/>
    <n v="6199"/>
    <n v="7845"/>
    <n v="47330"/>
    <n v="243"/>
    <n v="36"/>
    <n v="47"/>
    <n v="11328"/>
    <n v="158624.9306182384"/>
    <n v="6300"/>
    <n v="13206"/>
    <n v="2641"/>
    <m/>
    <m/>
    <n v="5124"/>
    <n v="2143"/>
    <n v="2409"/>
    <n v="2041"/>
    <n v="14044"/>
    <n v="196627762"/>
    <n v="534"/>
    <n v="1019"/>
    <n v="5816"/>
    <n v="243"/>
    <m/>
    <m/>
    <m/>
    <n v="103"/>
    <m/>
    <m/>
    <m/>
    <m/>
    <m/>
    <m/>
    <m/>
    <m/>
    <m/>
    <m/>
    <m/>
    <m/>
    <m/>
    <m/>
    <m/>
    <m/>
    <m/>
  </r>
  <r>
    <x v="0"/>
    <n v="27"/>
    <s v="TAB"/>
    <x v="26"/>
    <s v="2015-2016"/>
    <x v="5"/>
    <n v="5739"/>
    <n v="2280"/>
    <n v="3459"/>
    <n v="42849"/>
    <n v="76"/>
    <n v="22"/>
    <n v="25"/>
    <n v="4780"/>
    <n v="134263.10997582137"/>
    <m/>
    <n v="5650"/>
    <n v="1475"/>
    <m/>
    <m/>
    <n v="2213"/>
    <n v="1319"/>
    <n v="1082"/>
    <n v="1055"/>
    <n v="5739"/>
    <n v="97447789"/>
    <n v="295"/>
    <n v="497"/>
    <n v="682"/>
    <n v="0"/>
    <m/>
    <m/>
    <m/>
    <n v="221"/>
    <m/>
    <m/>
    <m/>
    <m/>
    <m/>
    <m/>
    <m/>
    <m/>
    <m/>
    <m/>
    <m/>
    <m/>
    <m/>
    <m/>
    <m/>
    <m/>
    <m/>
  </r>
  <r>
    <x v="0"/>
    <n v="28"/>
    <s v="TAMPS"/>
    <x v="27"/>
    <s v="2015-2016"/>
    <x v="5"/>
    <n v="9004"/>
    <n v="3517"/>
    <n v="5487"/>
    <n v="53858"/>
    <n v="147"/>
    <n v="22"/>
    <n v="49"/>
    <n v="7552"/>
    <n v="187329.31487792477"/>
    <n v="3948"/>
    <n v="9281"/>
    <n v="2277"/>
    <m/>
    <m/>
    <n v="4147"/>
    <n v="2058"/>
    <n v="1728"/>
    <n v="1542"/>
    <n v="9004"/>
    <n v="151650427"/>
    <n v="402"/>
    <n v="955"/>
    <n v="5910"/>
    <n v="12"/>
    <m/>
    <m/>
    <m/>
    <n v="82"/>
    <n v="218"/>
    <m/>
    <m/>
    <m/>
    <m/>
    <m/>
    <m/>
    <m/>
    <m/>
    <m/>
    <m/>
    <m/>
    <m/>
    <m/>
    <m/>
    <m/>
    <m/>
  </r>
  <r>
    <x v="0"/>
    <n v="29"/>
    <s v="TLAX"/>
    <x v="28"/>
    <s v="2015-2016"/>
    <x v="5"/>
    <n v="2848"/>
    <n v="1143"/>
    <n v="1705"/>
    <n v="21334"/>
    <n v="43"/>
    <n v="11"/>
    <n v="17"/>
    <n v="2482"/>
    <n v="73772.184412816365"/>
    <n v="1320"/>
    <n v="3081"/>
    <n v="758"/>
    <m/>
    <m/>
    <n v="1332"/>
    <n v="655"/>
    <n v="618"/>
    <n v="598"/>
    <n v="2848"/>
    <n v="36948468"/>
    <n v="175"/>
    <n v="372"/>
    <n v="19"/>
    <n v="75"/>
    <m/>
    <m/>
    <m/>
    <n v="0"/>
    <m/>
    <m/>
    <m/>
    <m/>
    <m/>
    <m/>
    <m/>
    <m/>
    <m/>
    <m/>
    <m/>
    <m/>
    <m/>
    <m/>
    <m/>
    <m/>
    <m/>
  </r>
  <r>
    <x v="0"/>
    <n v="30"/>
    <s v="VER"/>
    <x v="29"/>
    <s v="2015-2016"/>
    <x v="5"/>
    <n v="9327"/>
    <n v="3736"/>
    <n v="5591"/>
    <n v="132416"/>
    <n v="175"/>
    <n v="36"/>
    <n v="74"/>
    <n v="7800"/>
    <n v="447313.21251631447"/>
    <n v="5338"/>
    <n v="9124"/>
    <n v="2493"/>
    <m/>
    <m/>
    <n v="3711"/>
    <n v="2271"/>
    <n v="2162"/>
    <n v="2057"/>
    <n v="9327"/>
    <n v="198977232"/>
    <n v="562"/>
    <n v="1217"/>
    <n v="4165"/>
    <n v="234"/>
    <m/>
    <m/>
    <m/>
    <n v="842"/>
    <n v="554"/>
    <m/>
    <m/>
    <m/>
    <m/>
    <m/>
    <m/>
    <m/>
    <m/>
    <m/>
    <m/>
    <m/>
    <m/>
    <m/>
    <m/>
    <m/>
    <m/>
  </r>
  <r>
    <x v="0"/>
    <n v="31"/>
    <s v="YUC"/>
    <x v="30"/>
    <s v="2015-2016"/>
    <x v="5"/>
    <n v="4839"/>
    <n v="1913"/>
    <n v="2926"/>
    <n v="30873"/>
    <n v="63"/>
    <n v="14"/>
    <n v="24"/>
    <n v="3433"/>
    <n v="111391.49791559768"/>
    <n v="2466"/>
    <n v="4704"/>
    <n v="1071"/>
    <m/>
    <m/>
    <n v="1708"/>
    <n v="899"/>
    <n v="849"/>
    <n v="711"/>
    <n v="4839"/>
    <n v="88468761"/>
    <n v="272"/>
    <n v="360"/>
    <n v="2172"/>
    <n v="163"/>
    <m/>
    <m/>
    <m/>
    <n v="956"/>
    <m/>
    <m/>
    <m/>
    <m/>
    <m/>
    <m/>
    <m/>
    <m/>
    <m/>
    <m/>
    <m/>
    <m/>
    <m/>
    <m/>
    <m/>
    <m/>
    <m/>
  </r>
  <r>
    <x v="0"/>
    <n v="32"/>
    <s v="ZAC"/>
    <x v="31"/>
    <s v="2015-2016"/>
    <x v="5"/>
    <n v="1719"/>
    <n v="779"/>
    <n v="940"/>
    <n v="25816"/>
    <n v="46"/>
    <n v="16"/>
    <n v="7"/>
    <n v="1313"/>
    <n v="90808.802607902966"/>
    <n v="882"/>
    <n v="1694"/>
    <n v="309"/>
    <m/>
    <m/>
    <n v="767"/>
    <n v="267"/>
    <n v="276"/>
    <n v="271"/>
    <n v="1719"/>
    <n v="32276523"/>
    <n v="84"/>
    <n v="164"/>
    <n v="1767"/>
    <n v="454"/>
    <m/>
    <m/>
    <m/>
    <n v="370"/>
    <m/>
    <m/>
    <m/>
    <m/>
    <m/>
    <m/>
    <m/>
    <m/>
    <m/>
    <m/>
    <m/>
    <m/>
    <m/>
    <m/>
    <m/>
    <m/>
    <m/>
  </r>
  <r>
    <x v="2"/>
    <n v="33"/>
    <s v="OTRO"/>
    <x v="32"/>
    <s v="2015-2016"/>
    <x v="5"/>
    <m/>
    <m/>
    <m/>
    <m/>
    <m/>
    <m/>
    <m/>
    <m/>
    <m/>
    <m/>
    <m/>
    <m/>
    <m/>
    <m/>
    <m/>
    <m/>
    <m/>
    <m/>
    <m/>
    <m/>
    <m/>
    <m/>
    <m/>
    <m/>
    <m/>
    <m/>
    <m/>
    <n v="112"/>
    <m/>
    <m/>
    <m/>
    <m/>
    <m/>
    <m/>
    <m/>
    <m/>
    <m/>
    <m/>
    <m/>
    <m/>
    <m/>
    <m/>
    <m/>
    <m/>
    <m/>
  </r>
  <r>
    <x v="1"/>
    <n v="0"/>
    <s v="ON"/>
    <x v="33"/>
    <s v="2015-2016"/>
    <x v="5"/>
    <m/>
    <m/>
    <m/>
    <m/>
    <m/>
    <m/>
    <m/>
    <m/>
    <m/>
    <m/>
    <m/>
    <m/>
    <m/>
    <m/>
    <m/>
    <m/>
    <m/>
    <m/>
    <m/>
    <m/>
    <m/>
    <m/>
    <m/>
    <m/>
    <m/>
    <m/>
    <m/>
    <n v="195"/>
    <m/>
    <n v="299517.17913"/>
    <n v="1430230.9999999998"/>
    <n v="1430230.9999999998"/>
    <n v="1425327.2999999998"/>
    <n v="1358327.2999999998"/>
    <n v="1358327.2999999998"/>
    <n v="1409572.0999999999"/>
    <n v="1404668.4"/>
    <n v="20658.900000000001"/>
    <n v="20658.900000000001"/>
    <n v="71903.7"/>
    <n v="1430230.9999999998"/>
    <n v="60560.5"/>
    <n v="67000"/>
    <n v="1430230.9999999998"/>
    <n v="1425327.2999999998"/>
  </r>
  <r>
    <x v="0"/>
    <n v="1"/>
    <s v="AGS"/>
    <x v="0"/>
    <s v="2016-2017"/>
    <x v="6"/>
    <n v="4628"/>
    <n v="1649"/>
    <n v="2979"/>
    <n v="24872"/>
    <n v="91"/>
    <m/>
    <m/>
    <n v="4274"/>
    <n v="75552.523142201011"/>
    <n v="1783"/>
    <n v="4664"/>
    <n v="1160"/>
    <m/>
    <m/>
    <n v="1749"/>
    <n v="1021"/>
    <n v="1091"/>
    <n v="995"/>
    <n v="4628"/>
    <n v="61233430.649999999"/>
    <n v="287"/>
    <n v="429"/>
    <n v="2520"/>
    <n v="258"/>
    <m/>
    <m/>
    <m/>
    <n v="1257"/>
    <m/>
    <m/>
    <m/>
    <m/>
    <m/>
    <m/>
    <m/>
    <m/>
    <m/>
    <m/>
    <m/>
    <m/>
    <m/>
    <m/>
    <m/>
    <m/>
    <m/>
  </r>
  <r>
    <x v="0"/>
    <n v="2"/>
    <s v="BC"/>
    <x v="1"/>
    <s v="2016-2017"/>
    <x v="6"/>
    <n v="8090"/>
    <n v="3472"/>
    <n v="4618"/>
    <n v="65797"/>
    <n v="123"/>
    <m/>
    <m/>
    <n v="6273"/>
    <n v="189249.65677378187"/>
    <n v="4316"/>
    <n v="8256"/>
    <n v="1592"/>
    <m/>
    <m/>
    <n v="3120"/>
    <n v="1348"/>
    <n v="1519"/>
    <n v="1367"/>
    <n v="8090"/>
    <n v="130855822.47"/>
    <n v="378"/>
    <n v="749"/>
    <n v="2060"/>
    <n v="49"/>
    <m/>
    <m/>
    <m/>
    <n v="12"/>
    <n v="248"/>
    <m/>
    <m/>
    <m/>
    <m/>
    <m/>
    <m/>
    <m/>
    <m/>
    <m/>
    <m/>
    <m/>
    <m/>
    <m/>
    <m/>
    <m/>
    <m/>
  </r>
  <r>
    <x v="0"/>
    <n v="3"/>
    <s v="BCS"/>
    <x v="2"/>
    <s v="2016-2017"/>
    <x v="6"/>
    <n v="1878"/>
    <n v="795"/>
    <n v="1083"/>
    <n v="13365"/>
    <n v="18"/>
    <m/>
    <m/>
    <n v="1353"/>
    <n v="41053.964711196735"/>
    <n v="1070"/>
    <n v="1875"/>
    <n v="549"/>
    <m/>
    <m/>
    <n v="884"/>
    <n v="455"/>
    <n v="429"/>
    <n v="412"/>
    <n v="1878"/>
    <n v="32845717.109999999"/>
    <n v="91"/>
    <n v="217"/>
    <n v="1141"/>
    <n v="52"/>
    <m/>
    <m/>
    <m/>
    <n v="0"/>
    <m/>
    <m/>
    <m/>
    <m/>
    <m/>
    <m/>
    <m/>
    <m/>
    <m/>
    <m/>
    <m/>
    <m/>
    <m/>
    <m/>
    <m/>
    <m/>
    <m/>
  </r>
  <r>
    <x v="0"/>
    <n v="4"/>
    <s v="CAMP"/>
    <x v="3"/>
    <s v="2016-2017"/>
    <x v="6"/>
    <n v="1835"/>
    <n v="694"/>
    <n v="1141"/>
    <n v="13650"/>
    <n v="40"/>
    <m/>
    <m/>
    <n v="1231"/>
    <n v="48515.428270691897"/>
    <n v="845"/>
    <n v="1890"/>
    <n v="394"/>
    <m/>
    <m/>
    <n v="799"/>
    <n v="337"/>
    <n v="367"/>
    <n v="317"/>
    <n v="1835"/>
    <n v="39270163.579999998"/>
    <n v="106"/>
    <n v="331"/>
    <n v="209"/>
    <n v="69"/>
    <m/>
    <m/>
    <m/>
    <n v="227"/>
    <m/>
    <m/>
    <m/>
    <m/>
    <m/>
    <m/>
    <m/>
    <m/>
    <m/>
    <m/>
    <m/>
    <m/>
    <m/>
    <m/>
    <m/>
    <m/>
    <m/>
  </r>
  <r>
    <x v="0"/>
    <n v="7"/>
    <s v="CHIAP"/>
    <x v="4"/>
    <s v="2016-2017"/>
    <x v="6"/>
    <n v="7553"/>
    <n v="2843"/>
    <n v="4710"/>
    <n v="95696"/>
    <n v="167"/>
    <m/>
    <m/>
    <n v="6204"/>
    <n v="340247.31517651619"/>
    <n v="3471"/>
    <n v="7432"/>
    <n v="1925"/>
    <m/>
    <m/>
    <n v="3054"/>
    <n v="1704"/>
    <n v="1634"/>
    <n v="1474"/>
    <n v="7553"/>
    <n v="150972766.46000001"/>
    <n v="417"/>
    <n v="714"/>
    <n v="3261"/>
    <n v="126"/>
    <m/>
    <m/>
    <m/>
    <n v="459"/>
    <m/>
    <m/>
    <m/>
    <m/>
    <m/>
    <m/>
    <m/>
    <m/>
    <m/>
    <m/>
    <m/>
    <m/>
    <m/>
    <m/>
    <m/>
    <m/>
    <m/>
  </r>
  <r>
    <x v="0"/>
    <n v="8"/>
    <s v="CHIH"/>
    <x v="5"/>
    <s v="2016-2017"/>
    <x v="6"/>
    <n v="9095"/>
    <n v="3667"/>
    <n v="5428"/>
    <n v="58384"/>
    <n v="157"/>
    <m/>
    <m/>
    <n v="8007"/>
    <n v="202549.85077126772"/>
    <n v="4481"/>
    <n v="9712"/>
    <n v="2136"/>
    <m/>
    <m/>
    <n v="3670"/>
    <n v="1887"/>
    <n v="1992"/>
    <n v="1832"/>
    <n v="9095"/>
    <n v="145516960.11000001"/>
    <n v="595"/>
    <n v="983"/>
    <n v="2090"/>
    <n v="459"/>
    <m/>
    <m/>
    <m/>
    <n v="171"/>
    <n v="830"/>
    <m/>
    <m/>
    <m/>
    <m/>
    <m/>
    <m/>
    <m/>
    <m/>
    <m/>
    <m/>
    <m/>
    <m/>
    <m/>
    <m/>
    <m/>
    <m/>
  </r>
  <r>
    <x v="1"/>
    <n v="9"/>
    <s v="CDMX"/>
    <x v="6"/>
    <s v="2016-2017"/>
    <x v="6"/>
    <n v="44532"/>
    <n v="19341"/>
    <n v="25191"/>
    <n v="149092"/>
    <n v="578"/>
    <m/>
    <m/>
    <n v="35070"/>
    <n v="398626.75142456184"/>
    <n v="25391"/>
    <n v="44572"/>
    <n v="8176"/>
    <m/>
    <m/>
    <n v="17832"/>
    <n v="6851"/>
    <n v="6975"/>
    <n v="4488"/>
    <n v="44532"/>
    <n v="712523049.10000002"/>
    <n v="2139"/>
    <n v="3705"/>
    <n v="9656"/>
    <n v="498"/>
    <m/>
    <m/>
    <m/>
    <n v="409"/>
    <m/>
    <m/>
    <m/>
    <m/>
    <m/>
    <m/>
    <m/>
    <m/>
    <m/>
    <m/>
    <m/>
    <m/>
    <m/>
    <m/>
    <m/>
    <m/>
    <m/>
  </r>
  <r>
    <x v="0"/>
    <n v="5"/>
    <s v="COAH"/>
    <x v="7"/>
    <s v="2016-2017"/>
    <x v="6"/>
    <n v="9358"/>
    <n v="3694"/>
    <n v="5664"/>
    <n v="45461"/>
    <n v="134"/>
    <m/>
    <m/>
    <n v="7882"/>
    <n v="164049.17509195409"/>
    <n v="4894"/>
    <n v="8924"/>
    <n v="1884"/>
    <m/>
    <m/>
    <n v="3155"/>
    <n v="1717"/>
    <n v="1732"/>
    <n v="1678"/>
    <n v="9358"/>
    <n v="142365785.33000001"/>
    <n v="425"/>
    <n v="1141"/>
    <n v="1777"/>
    <n v="110"/>
    <m/>
    <m/>
    <m/>
    <n v="29"/>
    <m/>
    <m/>
    <m/>
    <m/>
    <m/>
    <m/>
    <m/>
    <m/>
    <m/>
    <m/>
    <m/>
    <m/>
    <m/>
    <m/>
    <m/>
    <m/>
    <m/>
  </r>
  <r>
    <x v="0"/>
    <n v="6"/>
    <s v="COL"/>
    <x v="8"/>
    <s v="2016-2017"/>
    <x v="6"/>
    <n v="1986"/>
    <n v="861"/>
    <n v="1125"/>
    <n v="10098"/>
    <n v="48"/>
    <m/>
    <m/>
    <n v="1204"/>
    <n v="37875.704792408171"/>
    <n v="987"/>
    <n v="1904"/>
    <n v="357"/>
    <m/>
    <m/>
    <n v="813"/>
    <n v="288"/>
    <n v="313"/>
    <n v="291"/>
    <n v="1986"/>
    <n v="39698810.590000004"/>
    <n v="116"/>
    <n v="320"/>
    <n v="446"/>
    <n v="53"/>
    <m/>
    <m/>
    <m/>
    <n v="2"/>
    <m/>
    <m/>
    <m/>
    <m/>
    <m/>
    <m/>
    <m/>
    <m/>
    <m/>
    <m/>
    <m/>
    <m/>
    <m/>
    <m/>
    <m/>
    <m/>
    <m/>
  </r>
  <r>
    <x v="0"/>
    <n v="10"/>
    <s v="DGO"/>
    <x v="9"/>
    <s v="2016-2017"/>
    <x v="6"/>
    <n v="2142"/>
    <n v="853"/>
    <n v="1289"/>
    <n v="28138"/>
    <n v="52"/>
    <m/>
    <m/>
    <n v="1732"/>
    <n v="103161.14488961299"/>
    <n v="989"/>
    <n v="2338"/>
    <n v="457"/>
    <m/>
    <m/>
    <n v="1022"/>
    <n v="403"/>
    <n v="435"/>
    <n v="328"/>
    <n v="2142"/>
    <n v="38851853.909999996"/>
    <n v="152"/>
    <n v="260"/>
    <n v="836"/>
    <n v="19"/>
    <m/>
    <m/>
    <m/>
    <n v="1"/>
    <m/>
    <m/>
    <m/>
    <m/>
    <m/>
    <m/>
    <m/>
    <m/>
    <m/>
    <m/>
    <m/>
    <m/>
    <m/>
    <m/>
    <m/>
    <m/>
    <m/>
  </r>
  <r>
    <x v="0"/>
    <n v="11"/>
    <s v="GTO"/>
    <x v="10"/>
    <s v="2016-2017"/>
    <x v="6"/>
    <n v="17266"/>
    <n v="7056"/>
    <n v="10210"/>
    <n v="101972"/>
    <n v="288"/>
    <m/>
    <m/>
    <n v="13982"/>
    <n v="343052.59941082727"/>
    <n v="9987"/>
    <n v="17490"/>
    <n v="5020"/>
    <m/>
    <m/>
    <n v="8079"/>
    <n v="4743"/>
    <n v="4179"/>
    <n v="4061"/>
    <n v="17266"/>
    <n v="232530027.75999999"/>
    <n v="882"/>
    <n v="2187"/>
    <n v="14908"/>
    <n v="724"/>
    <m/>
    <m/>
    <m/>
    <n v="1341"/>
    <n v="10325"/>
    <m/>
    <m/>
    <m/>
    <m/>
    <m/>
    <m/>
    <m/>
    <m/>
    <m/>
    <m/>
    <m/>
    <m/>
    <m/>
    <m/>
    <m/>
    <m/>
  </r>
  <r>
    <x v="0"/>
    <n v="12"/>
    <s v="GRO"/>
    <x v="11"/>
    <s v="2016-2017"/>
    <x v="6"/>
    <n v="6290"/>
    <n v="2388"/>
    <n v="3902"/>
    <n v="67377"/>
    <n v="128"/>
    <m/>
    <m/>
    <n v="4921"/>
    <n v="223862.11018434755"/>
    <n v="3307"/>
    <n v="6612"/>
    <n v="1495"/>
    <m/>
    <m/>
    <n v="2731"/>
    <n v="1363"/>
    <n v="1457"/>
    <n v="928"/>
    <n v="6290"/>
    <n v="126521394.34999999"/>
    <n v="314"/>
    <n v="719"/>
    <n v="1707"/>
    <n v="680"/>
    <m/>
    <m/>
    <m/>
    <n v="1021"/>
    <m/>
    <m/>
    <m/>
    <m/>
    <m/>
    <m/>
    <m/>
    <m/>
    <m/>
    <m/>
    <m/>
    <m/>
    <m/>
    <m/>
    <m/>
    <m/>
    <m/>
  </r>
  <r>
    <x v="0"/>
    <n v="13"/>
    <s v="HGO"/>
    <x v="12"/>
    <s v="2016-2017"/>
    <x v="6"/>
    <n v="3715"/>
    <n v="1609"/>
    <n v="2106"/>
    <n v="53656"/>
    <n v="71"/>
    <m/>
    <m/>
    <n v="3240"/>
    <n v="160914.50700483442"/>
    <n v="1987"/>
    <n v="3713"/>
    <n v="836"/>
    <m/>
    <m/>
    <n v="1716"/>
    <n v="710"/>
    <n v="691"/>
    <n v="684"/>
    <n v="3715"/>
    <n v="60800287.82"/>
    <n v="213"/>
    <n v="428"/>
    <n v="839"/>
    <n v="512"/>
    <m/>
    <m/>
    <m/>
    <n v="183"/>
    <m/>
    <m/>
    <m/>
    <m/>
    <m/>
    <m/>
    <m/>
    <m/>
    <m/>
    <m/>
    <m/>
    <m/>
    <m/>
    <m/>
    <m/>
    <m/>
    <m/>
  </r>
  <r>
    <x v="0"/>
    <n v="14"/>
    <s v="JAL"/>
    <x v="13"/>
    <s v="2016-2017"/>
    <x v="6"/>
    <n v="14712"/>
    <n v="5788"/>
    <n v="8924"/>
    <n v="134735"/>
    <n v="276"/>
    <m/>
    <m/>
    <n v="11181"/>
    <n v="434016.99044479663"/>
    <n v="6016"/>
    <n v="14614"/>
    <n v="3200"/>
    <m/>
    <m/>
    <n v="5644"/>
    <n v="2841"/>
    <n v="3081"/>
    <n v="2825"/>
    <n v="14712"/>
    <n v="246794917.25"/>
    <n v="865"/>
    <n v="2084"/>
    <n v="5689"/>
    <n v="422"/>
    <m/>
    <m/>
    <m/>
    <n v="33"/>
    <n v="523"/>
    <m/>
    <m/>
    <m/>
    <m/>
    <m/>
    <m/>
    <m/>
    <m/>
    <m/>
    <m/>
    <m/>
    <m/>
    <m/>
    <m/>
    <m/>
    <m/>
  </r>
  <r>
    <x v="0"/>
    <n v="15"/>
    <s v="MEX"/>
    <x v="14"/>
    <s v="2016-2017"/>
    <x v="6"/>
    <n v="48274"/>
    <n v="20110"/>
    <n v="28164"/>
    <n v="282972"/>
    <n v="777"/>
    <m/>
    <m/>
    <n v="41167"/>
    <n v="912434.1330424099"/>
    <n v="30447"/>
    <n v="47574"/>
    <n v="9775"/>
    <m/>
    <m/>
    <n v="19346"/>
    <n v="8197"/>
    <n v="8432"/>
    <n v="7119"/>
    <n v="48274"/>
    <n v="719471475.25999999"/>
    <n v="2301"/>
    <n v="4445"/>
    <n v="10044"/>
    <n v="1523"/>
    <m/>
    <m/>
    <m/>
    <n v="21394"/>
    <n v="928"/>
    <m/>
    <m/>
    <m/>
    <m/>
    <m/>
    <m/>
    <m/>
    <m/>
    <m/>
    <m/>
    <m/>
    <m/>
    <m/>
    <m/>
    <m/>
    <m/>
  </r>
  <r>
    <x v="0"/>
    <n v="16"/>
    <s v="MICH"/>
    <x v="15"/>
    <s v="2016-2017"/>
    <x v="6"/>
    <n v="11186"/>
    <n v="4617"/>
    <n v="6569"/>
    <n v="71545"/>
    <n v="219"/>
    <m/>
    <m/>
    <n v="9228"/>
    <n v="260237.037837757"/>
    <n v="5759"/>
    <n v="11182"/>
    <n v="2812"/>
    <m/>
    <m/>
    <n v="4749"/>
    <n v="2396"/>
    <n v="2482"/>
    <n v="2207"/>
    <n v="11186"/>
    <n v="196792051.69999999"/>
    <n v="461"/>
    <n v="1204"/>
    <n v="1852"/>
    <n v="450"/>
    <m/>
    <m/>
    <m/>
    <n v="39"/>
    <m/>
    <m/>
    <m/>
    <m/>
    <m/>
    <m/>
    <m/>
    <m/>
    <m/>
    <m/>
    <m/>
    <m/>
    <m/>
    <m/>
    <m/>
    <m/>
    <m/>
  </r>
  <r>
    <x v="0"/>
    <n v="17"/>
    <s v="MOR"/>
    <x v="16"/>
    <s v="2016-2017"/>
    <x v="6"/>
    <n v="4719"/>
    <n v="2007"/>
    <n v="2712"/>
    <n v="37387"/>
    <n v="72"/>
    <m/>
    <m/>
    <n v="3808"/>
    <n v="102090.35270232501"/>
    <n v="2557"/>
    <n v="4599"/>
    <n v="1143"/>
    <m/>
    <m/>
    <n v="1832"/>
    <n v="1040"/>
    <n v="1130"/>
    <n v="1030"/>
    <n v="4719"/>
    <n v="66564926.93"/>
    <n v="243"/>
    <n v="532"/>
    <n v="902"/>
    <n v="539"/>
    <m/>
    <m/>
    <m/>
    <n v="1860"/>
    <m/>
    <m/>
    <m/>
    <m/>
    <m/>
    <m/>
    <m/>
    <m/>
    <m/>
    <m/>
    <m/>
    <m/>
    <m/>
    <m/>
    <m/>
    <m/>
    <m/>
  </r>
  <r>
    <x v="0"/>
    <n v="18"/>
    <s v="NAY"/>
    <x v="17"/>
    <s v="2016-2017"/>
    <x v="6"/>
    <n v="3195"/>
    <n v="1407"/>
    <n v="1788"/>
    <n v="23258"/>
    <n v="61"/>
    <m/>
    <m/>
    <n v="2775"/>
    <n v="66472.42397422815"/>
    <n v="1704"/>
    <n v="3019"/>
    <n v="717"/>
    <m/>
    <m/>
    <n v="1236"/>
    <n v="639"/>
    <n v="620"/>
    <n v="600"/>
    <n v="3195"/>
    <n v="50186140.68"/>
    <n v="123"/>
    <n v="361"/>
    <n v="609"/>
    <n v="25"/>
    <m/>
    <m/>
    <m/>
    <n v="0"/>
    <m/>
    <m/>
    <m/>
    <m/>
    <m/>
    <m/>
    <m/>
    <m/>
    <m/>
    <m/>
    <m/>
    <m/>
    <m/>
    <m/>
    <m/>
    <m/>
    <m/>
  </r>
  <r>
    <x v="0"/>
    <n v="19"/>
    <s v="NL"/>
    <x v="18"/>
    <s v="2016-2017"/>
    <x v="6"/>
    <n v="20067"/>
    <n v="9082"/>
    <n v="10985"/>
    <n v="90665"/>
    <n v="270"/>
    <m/>
    <m/>
    <n v="16187"/>
    <n v="264210.40940151631"/>
    <n v="11690"/>
    <n v="18667"/>
    <n v="4003"/>
    <m/>
    <m/>
    <n v="7514"/>
    <n v="3684"/>
    <n v="3797"/>
    <n v="3715"/>
    <n v="20067"/>
    <n v="206380341.27000001"/>
    <n v="989"/>
    <n v="1549"/>
    <n v="44247"/>
    <n v="1812"/>
    <m/>
    <m/>
    <m/>
    <n v="40750"/>
    <n v="459"/>
    <m/>
    <m/>
    <m/>
    <m/>
    <m/>
    <m/>
    <m/>
    <m/>
    <m/>
    <m/>
    <m/>
    <m/>
    <m/>
    <m/>
    <m/>
    <m/>
  </r>
  <r>
    <x v="1"/>
    <n v="20"/>
    <s v="OAX"/>
    <x v="19"/>
    <s v="2016-2017"/>
    <x v="6"/>
    <n v="6379"/>
    <n v="2505"/>
    <n v="3874"/>
    <n v="64804"/>
    <n v="127"/>
    <m/>
    <m/>
    <n v="5165"/>
    <n v="238629.8246244514"/>
    <n v="3009"/>
    <n v="6301"/>
    <n v="1392"/>
    <m/>
    <m/>
    <n v="2396"/>
    <n v="1203"/>
    <n v="1316"/>
    <n v="791"/>
    <n v="6379"/>
    <n v="161102864.30000001"/>
    <n v="392"/>
    <n v="637"/>
    <n v="2334"/>
    <n v="26"/>
    <m/>
    <m/>
    <m/>
    <n v="70"/>
    <m/>
    <m/>
    <m/>
    <m/>
    <m/>
    <m/>
    <m/>
    <m/>
    <m/>
    <m/>
    <m/>
    <m/>
    <m/>
    <m/>
    <m/>
    <m/>
    <m/>
  </r>
  <r>
    <x v="0"/>
    <n v="21"/>
    <s v="PUE"/>
    <x v="20"/>
    <s v="2016-2017"/>
    <x v="6"/>
    <n v="7260"/>
    <n v="2814"/>
    <n v="4446"/>
    <n v="112511"/>
    <n v="161"/>
    <m/>
    <m/>
    <n v="6045"/>
    <n v="365819.68174850667"/>
    <n v="3966"/>
    <n v="7128"/>
    <n v="1880"/>
    <m/>
    <m/>
    <n v="2813"/>
    <n v="1681"/>
    <n v="1602"/>
    <n v="1494"/>
    <n v="7260"/>
    <n v="142747445.18000001"/>
    <n v="396"/>
    <n v="1005"/>
    <n v="5771"/>
    <n v="160"/>
    <m/>
    <m/>
    <m/>
    <n v="3613"/>
    <m/>
    <m/>
    <m/>
    <m/>
    <m/>
    <m/>
    <m/>
    <m/>
    <m/>
    <m/>
    <m/>
    <m/>
    <m/>
    <m/>
    <m/>
    <m/>
    <m/>
  </r>
  <r>
    <x v="0"/>
    <n v="22"/>
    <s v="QRO"/>
    <x v="21"/>
    <s v="2016-2017"/>
    <x v="6"/>
    <n v="3418"/>
    <n v="1359"/>
    <n v="2059"/>
    <n v="38223"/>
    <n v="66"/>
    <m/>
    <m/>
    <n v="2773"/>
    <n v="113220.15701172216"/>
    <n v="2344"/>
    <n v="3482"/>
    <n v="806"/>
    <m/>
    <m/>
    <n v="1347"/>
    <n v="754"/>
    <n v="715"/>
    <n v="670"/>
    <n v="3418"/>
    <n v="44110957.090000004"/>
    <n v="273"/>
    <n v="449"/>
    <n v="1056"/>
    <n v="99"/>
    <m/>
    <m/>
    <m/>
    <n v="7"/>
    <m/>
    <m/>
    <m/>
    <m/>
    <m/>
    <m/>
    <m/>
    <m/>
    <m/>
    <m/>
    <m/>
    <m/>
    <m/>
    <m/>
    <m/>
    <m/>
    <m/>
  </r>
  <r>
    <x v="0"/>
    <n v="23"/>
    <s v="QROO"/>
    <x v="22"/>
    <s v="2016-2017"/>
    <x v="6"/>
    <n v="8129"/>
    <n v="3453"/>
    <n v="4676"/>
    <n v="25788"/>
    <n v="109"/>
    <m/>
    <m/>
    <n v="6630"/>
    <n v="83021.163387304725"/>
    <n v="4139"/>
    <n v="8052"/>
    <n v="2031"/>
    <m/>
    <m/>
    <n v="3422"/>
    <n v="1830"/>
    <n v="2146"/>
    <n v="2025"/>
    <n v="8129"/>
    <n v="95403303.569999993"/>
    <n v="403"/>
    <n v="771"/>
    <n v="101"/>
    <n v="13"/>
    <m/>
    <m/>
    <m/>
    <n v="73"/>
    <m/>
    <m/>
    <m/>
    <m/>
    <m/>
    <m/>
    <m/>
    <m/>
    <m/>
    <m/>
    <m/>
    <m/>
    <m/>
    <m/>
    <m/>
    <m/>
    <m/>
  </r>
  <r>
    <x v="0"/>
    <n v="24"/>
    <s v="SLP"/>
    <x v="23"/>
    <s v="2016-2017"/>
    <x v="6"/>
    <n v="5400"/>
    <n v="2244"/>
    <n v="3156"/>
    <n v="49538"/>
    <n v="90"/>
    <m/>
    <m/>
    <n v="4212"/>
    <n v="160457.85376460687"/>
    <n v="2723"/>
    <n v="5220"/>
    <n v="1143"/>
    <m/>
    <m/>
    <n v="2113"/>
    <n v="980"/>
    <n v="1065"/>
    <n v="1005"/>
    <n v="5400"/>
    <n v="83475628.680000007"/>
    <n v="288"/>
    <n v="427"/>
    <n v="4290"/>
    <n v="71"/>
    <m/>
    <m/>
    <m/>
    <n v="282"/>
    <m/>
    <m/>
    <m/>
    <m/>
    <m/>
    <m/>
    <m/>
    <m/>
    <m/>
    <m/>
    <m/>
    <m/>
    <m/>
    <m/>
    <m/>
    <m/>
    <m/>
  </r>
  <r>
    <x v="0"/>
    <n v="25"/>
    <s v="SIN"/>
    <x v="24"/>
    <s v="2016-2017"/>
    <x v="6"/>
    <n v="7854"/>
    <n v="2997"/>
    <n v="4857"/>
    <n v="43587"/>
    <n v="216"/>
    <m/>
    <m/>
    <n v="6793"/>
    <n v="164736.19777176625"/>
    <n v="3401"/>
    <n v="8506"/>
    <n v="2539"/>
    <m/>
    <m/>
    <n v="3734"/>
    <n v="2335"/>
    <n v="2267"/>
    <n v="2224"/>
    <n v="7854"/>
    <n v="211443635.19"/>
    <n v="525"/>
    <n v="1117"/>
    <n v="331"/>
    <n v="53"/>
    <m/>
    <m/>
    <m/>
    <n v="12"/>
    <m/>
    <m/>
    <m/>
    <m/>
    <m/>
    <m/>
    <m/>
    <m/>
    <m/>
    <m/>
    <m/>
    <m/>
    <m/>
    <m/>
    <m/>
    <m/>
    <m/>
  </r>
  <r>
    <x v="0"/>
    <n v="26"/>
    <s v="SON"/>
    <x v="25"/>
    <s v="2016-2017"/>
    <x v="6"/>
    <n v="15385"/>
    <n v="7175"/>
    <n v="8210"/>
    <n v="59864"/>
    <n v="258"/>
    <m/>
    <m/>
    <n v="12734"/>
    <n v="159265.55746443506"/>
    <n v="7310"/>
    <n v="14044"/>
    <n v="2786"/>
    <m/>
    <m/>
    <n v="5501"/>
    <n v="2385"/>
    <n v="2143"/>
    <n v="1816"/>
    <n v="15385"/>
    <n v="214571296.80000001"/>
    <n v="570"/>
    <n v="857"/>
    <n v="7200"/>
    <n v="587"/>
    <m/>
    <m/>
    <m/>
    <n v="0"/>
    <m/>
    <m/>
    <m/>
    <m/>
    <m/>
    <m/>
    <m/>
    <m/>
    <m/>
    <m/>
    <m/>
    <m/>
    <m/>
    <m/>
    <m/>
    <m/>
    <m/>
  </r>
  <r>
    <x v="0"/>
    <n v="27"/>
    <s v="TAB"/>
    <x v="26"/>
    <s v="2016-2017"/>
    <x v="6"/>
    <n v="5584"/>
    <n v="2109"/>
    <n v="3475"/>
    <n v="41493"/>
    <n v="76"/>
    <m/>
    <m/>
    <n v="4726"/>
    <n v="133909.77929229953"/>
    <n v="2169"/>
    <n v="5739"/>
    <n v="1492"/>
    <m/>
    <m/>
    <n v="2164"/>
    <n v="1341"/>
    <n v="1319"/>
    <n v="1268"/>
    <n v="5584"/>
    <n v="106609849.48"/>
    <n v="293"/>
    <n v="484"/>
    <n v="1976"/>
    <n v="129"/>
    <m/>
    <m/>
    <m/>
    <n v="28"/>
    <m/>
    <m/>
    <m/>
    <m/>
    <m/>
    <m/>
    <m/>
    <m/>
    <m/>
    <m/>
    <m/>
    <m/>
    <m/>
    <m/>
    <m/>
    <m/>
    <m/>
  </r>
  <r>
    <x v="0"/>
    <n v="28"/>
    <s v="TAMPS"/>
    <x v="27"/>
    <s v="2016-2017"/>
    <x v="6"/>
    <n v="8929"/>
    <n v="3648"/>
    <n v="5281"/>
    <n v="57183"/>
    <n v="157"/>
    <m/>
    <m/>
    <n v="7552"/>
    <n v="187483.87275360705"/>
    <n v="4049"/>
    <n v="9004"/>
    <n v="2056"/>
    <m/>
    <m/>
    <n v="3644"/>
    <n v="1856"/>
    <n v="2058"/>
    <n v="1851"/>
    <n v="8929"/>
    <n v="165592499.62"/>
    <n v="397"/>
    <n v="1077"/>
    <n v="3556"/>
    <n v="82"/>
    <m/>
    <m/>
    <m/>
    <n v="110"/>
    <n v="692"/>
    <m/>
    <m/>
    <m/>
    <m/>
    <m/>
    <m/>
    <m/>
    <m/>
    <m/>
    <m/>
    <m/>
    <m/>
    <m/>
    <m/>
    <m/>
    <m/>
  </r>
  <r>
    <x v="0"/>
    <n v="29"/>
    <s v="TLAX"/>
    <x v="28"/>
    <s v="2016-2017"/>
    <x v="6"/>
    <n v="3036"/>
    <n v="1333"/>
    <n v="1703"/>
    <n v="24542"/>
    <n v="48"/>
    <m/>
    <m/>
    <n v="2707"/>
    <n v="74007.270653160027"/>
    <n v="1482"/>
    <n v="2848"/>
    <n v="730"/>
    <m/>
    <m/>
    <n v="1269"/>
    <n v="604"/>
    <n v="655"/>
    <n v="653"/>
    <n v="3036"/>
    <n v="40424161.539999999"/>
    <n v="172"/>
    <n v="455"/>
    <n v="59"/>
    <n v="42"/>
    <m/>
    <m/>
    <m/>
    <n v="56"/>
    <m/>
    <m/>
    <m/>
    <m/>
    <m/>
    <m/>
    <m/>
    <m/>
    <m/>
    <m/>
    <m/>
    <m/>
    <m/>
    <m/>
    <m/>
    <m/>
    <m/>
  </r>
  <r>
    <x v="0"/>
    <n v="30"/>
    <s v="VER"/>
    <x v="29"/>
    <s v="2016-2017"/>
    <x v="6"/>
    <n v="9302"/>
    <n v="3448"/>
    <n v="5854"/>
    <n v="139073"/>
    <n v="176"/>
    <m/>
    <m/>
    <n v="7792"/>
    <n v="442000.15162501682"/>
    <n v="5408"/>
    <n v="9327"/>
    <n v="2338"/>
    <m/>
    <m/>
    <n v="3472"/>
    <n v="2121"/>
    <n v="2271"/>
    <n v="2135"/>
    <n v="9302"/>
    <n v="217163897.13"/>
    <n v="553"/>
    <n v="1543"/>
    <n v="5370"/>
    <n v="280"/>
    <m/>
    <m/>
    <m/>
    <n v="499"/>
    <n v="601"/>
    <m/>
    <m/>
    <m/>
    <m/>
    <m/>
    <m/>
    <m/>
    <m/>
    <m/>
    <m/>
    <m/>
    <m/>
    <m/>
    <m/>
    <m/>
    <m/>
  </r>
  <r>
    <x v="0"/>
    <n v="31"/>
    <s v="YUC"/>
    <x v="30"/>
    <s v="2016-2017"/>
    <x v="6"/>
    <n v="5114"/>
    <n v="2046"/>
    <n v="3068"/>
    <n v="33197"/>
    <n v="69"/>
    <m/>
    <m/>
    <n v="3718"/>
    <n v="110921.77471538878"/>
    <n v="2642"/>
    <n v="4839"/>
    <n v="1110"/>
    <m/>
    <m/>
    <n v="1841"/>
    <n v="982"/>
    <n v="899"/>
    <n v="739"/>
    <n v="5114"/>
    <n v="96311307.430000007"/>
    <n v="271"/>
    <n v="484"/>
    <n v="3318"/>
    <n v="472"/>
    <m/>
    <m/>
    <m/>
    <n v="132"/>
    <m/>
    <m/>
    <m/>
    <m/>
    <m/>
    <m/>
    <m/>
    <m/>
    <m/>
    <m/>
    <m/>
    <m/>
    <m/>
    <m/>
    <m/>
    <m/>
    <m/>
  </r>
  <r>
    <x v="0"/>
    <n v="32"/>
    <s v="ZAC"/>
    <x v="31"/>
    <s v="2016-2017"/>
    <x v="6"/>
    <n v="1610"/>
    <n v="736"/>
    <n v="874"/>
    <n v="30072"/>
    <n v="51"/>
    <m/>
    <m/>
    <n v="1243"/>
    <n v="90115.842866702355"/>
    <n v="812"/>
    <n v="1719"/>
    <n v="348"/>
    <m/>
    <m/>
    <n v="801"/>
    <n v="292"/>
    <n v="267"/>
    <n v="256"/>
    <n v="1610"/>
    <n v="35206510.600000001"/>
    <n v="76"/>
    <n v="197"/>
    <n v="543"/>
    <n v="151"/>
    <m/>
    <m/>
    <m/>
    <n v="0"/>
    <m/>
    <m/>
    <m/>
    <m/>
    <m/>
    <m/>
    <m/>
    <m/>
    <m/>
    <m/>
    <m/>
    <m/>
    <m/>
    <m/>
    <m/>
    <m/>
    <m/>
  </r>
  <r>
    <x v="2"/>
    <n v="33"/>
    <s v="OTRO"/>
    <x v="32"/>
    <s v="2016-2017"/>
    <x v="6"/>
    <m/>
    <m/>
    <m/>
    <m/>
    <m/>
    <m/>
    <m/>
    <m/>
    <m/>
    <m/>
    <m/>
    <m/>
    <m/>
    <m/>
    <m/>
    <m/>
    <m/>
    <m/>
    <m/>
    <m/>
    <m/>
    <m/>
    <m/>
    <m/>
    <m/>
    <m/>
    <m/>
    <n v="223"/>
    <m/>
    <m/>
    <m/>
    <m/>
    <m/>
    <m/>
    <m/>
    <m/>
    <m/>
    <m/>
    <m/>
    <m/>
    <m/>
    <m/>
    <m/>
    <m/>
    <m/>
  </r>
  <r>
    <x v="1"/>
    <n v="0"/>
    <s v="ON"/>
    <x v="33"/>
    <s v="2016-2017"/>
    <x v="6"/>
    <m/>
    <m/>
    <m/>
    <m/>
    <m/>
    <m/>
    <m/>
    <m/>
    <m/>
    <m/>
    <m/>
    <m/>
    <m/>
    <m/>
    <m/>
    <m/>
    <m/>
    <m/>
    <m/>
    <m/>
    <m/>
    <m/>
    <n v="2273"/>
    <m/>
    <m/>
    <m/>
    <m/>
    <n v="460"/>
    <m/>
    <n v="327125.75745099987"/>
    <n v="1521741.574"/>
    <n v="1521741.574"/>
    <n v="1524483.65"/>
    <n v="1470588.7209999999"/>
    <n v="1471983.65"/>
    <n v="1474213.6429999999"/>
    <n v="1476955.71"/>
    <n v="47527.930999999997"/>
    <n v="47527.94"/>
    <n v="51152.853000000003"/>
    <n v="1521741.574"/>
    <n v="51638.898000000001"/>
    <n v="52500"/>
    <n v="1521741.574"/>
    <n v="1524483.65"/>
  </r>
  <r>
    <x v="0"/>
    <n v="1"/>
    <s v="AGS"/>
    <x v="0"/>
    <s v="2017-2018"/>
    <x v="7"/>
    <n v="4662"/>
    <n v="1771"/>
    <n v="2891"/>
    <n v="23120"/>
    <n v="90"/>
    <n v="10"/>
    <n v="18"/>
    <n v="4325"/>
    <n v="75598.148803457036"/>
    <n v="2788"/>
    <n v="4628"/>
    <n v="1327"/>
    <m/>
    <m/>
    <n v="1860"/>
    <n v="1194"/>
    <n v="1021"/>
    <n v="930"/>
    <n v="4662"/>
    <n v="62940244.950000003"/>
    <n v="278"/>
    <n v="429"/>
    <n v="3677"/>
    <n v="334"/>
    <m/>
    <m/>
    <m/>
    <n v="861"/>
    <m/>
    <m/>
    <m/>
    <m/>
    <m/>
    <m/>
    <m/>
    <m/>
    <m/>
    <m/>
    <m/>
    <m/>
    <m/>
    <m/>
    <m/>
    <m/>
    <m/>
  </r>
  <r>
    <x v="0"/>
    <n v="2"/>
    <s v="BC"/>
    <x v="1"/>
    <s v="2017-2018"/>
    <x v="7"/>
    <n v="8249"/>
    <n v="3372"/>
    <n v="4877"/>
    <n v="57195"/>
    <n v="123"/>
    <n v="22"/>
    <n v="20"/>
    <n v="6428"/>
    <n v="187686.64734289853"/>
    <n v="3870"/>
    <n v="8090"/>
    <n v="1495"/>
    <m/>
    <m/>
    <n v="3277"/>
    <n v="1263"/>
    <n v="1348"/>
    <n v="1238"/>
    <n v="8249"/>
    <n v="134453006.91000003"/>
    <n v="385"/>
    <n v="749"/>
    <n v="3022"/>
    <n v="138"/>
    <m/>
    <m/>
    <m/>
    <n v="40"/>
    <n v="254"/>
    <m/>
    <m/>
    <m/>
    <m/>
    <m/>
    <m/>
    <m/>
    <m/>
    <m/>
    <m/>
    <m/>
    <m/>
    <m/>
    <m/>
    <m/>
    <m/>
  </r>
  <r>
    <x v="0"/>
    <n v="3"/>
    <s v="BCS"/>
    <x v="2"/>
    <s v="2017-2018"/>
    <x v="7"/>
    <n v="1664"/>
    <n v="572"/>
    <n v="1092"/>
    <n v="12013"/>
    <n v="18"/>
    <n v="5"/>
    <n v="1"/>
    <n v="1234"/>
    <n v="41868.59660841593"/>
    <n v="882"/>
    <n v="1878"/>
    <n v="438"/>
    <m/>
    <m/>
    <n v="709"/>
    <n v="352"/>
    <n v="455"/>
    <n v="422"/>
    <n v="1664"/>
    <n v="33737522.760000005"/>
    <n v="86"/>
    <n v="217"/>
    <n v="792"/>
    <n v="42"/>
    <m/>
    <m/>
    <m/>
    <n v="1"/>
    <m/>
    <m/>
    <m/>
    <m/>
    <m/>
    <m/>
    <m/>
    <m/>
    <m/>
    <m/>
    <m/>
    <m/>
    <m/>
    <m/>
    <m/>
    <m/>
    <m/>
  </r>
  <r>
    <x v="0"/>
    <n v="4"/>
    <s v="CAMP"/>
    <x v="3"/>
    <s v="2017-2018"/>
    <x v="7"/>
    <n v="1809"/>
    <n v="726"/>
    <n v="1083"/>
    <n v="15003"/>
    <n v="40"/>
    <n v="9"/>
    <n v="12"/>
    <n v="1279"/>
    <n v="48445.133432320828"/>
    <n v="836"/>
    <n v="1835"/>
    <n v="406"/>
    <m/>
    <m/>
    <n v="744"/>
    <n v="348"/>
    <n v="337"/>
    <n v="289"/>
    <n v="1809"/>
    <n v="40377865.43"/>
    <n v="104"/>
    <n v="331"/>
    <n v="236"/>
    <n v="96"/>
    <m/>
    <m/>
    <m/>
    <n v="395"/>
    <m/>
    <m/>
    <m/>
    <m/>
    <m/>
    <m/>
    <m/>
    <m/>
    <m/>
    <m/>
    <m/>
    <m/>
    <m/>
    <m/>
    <m/>
    <m/>
    <m/>
  </r>
  <r>
    <x v="0"/>
    <n v="7"/>
    <s v="CHIAP"/>
    <x v="4"/>
    <s v="2017-2018"/>
    <x v="7"/>
    <n v="7408"/>
    <n v="2680"/>
    <n v="4728"/>
    <n v="93621"/>
    <n v="167"/>
    <n v="18"/>
    <n v="51"/>
    <n v="6135"/>
    <n v="339199.38612340792"/>
    <n v="3253"/>
    <n v="7553"/>
    <n v="1871"/>
    <m/>
    <m/>
    <n v="2807"/>
    <n v="1669"/>
    <n v="1704"/>
    <n v="1459"/>
    <n v="7408"/>
    <n v="154916086.87"/>
    <n v="412"/>
    <n v="714"/>
    <n v="3960"/>
    <n v="159"/>
    <m/>
    <m/>
    <m/>
    <n v="140"/>
    <m/>
    <m/>
    <m/>
    <m/>
    <m/>
    <m/>
    <m/>
    <m/>
    <m/>
    <m/>
    <m/>
    <m/>
    <m/>
    <m/>
    <m/>
    <m/>
    <m/>
  </r>
  <r>
    <x v="0"/>
    <n v="8"/>
    <s v="CHIH"/>
    <x v="5"/>
    <s v="2017-2018"/>
    <x v="7"/>
    <n v="9203"/>
    <n v="3776"/>
    <n v="5427"/>
    <n v="55630"/>
    <n v="157"/>
    <n v="30"/>
    <n v="34"/>
    <n v="8150"/>
    <n v="202962.54778543254"/>
    <n v="4315"/>
    <n v="9095"/>
    <n v="1927"/>
    <m/>
    <m/>
    <n v="3922"/>
    <n v="1759"/>
    <n v="1887"/>
    <n v="1718"/>
    <n v="9203"/>
    <n v="149622540.54999998"/>
    <n v="537"/>
    <n v="983"/>
    <n v="9869"/>
    <n v="306"/>
    <m/>
    <m/>
    <m/>
    <n v="178"/>
    <n v="688"/>
    <m/>
    <m/>
    <m/>
    <m/>
    <m/>
    <m/>
    <m/>
    <m/>
    <m/>
    <m/>
    <m/>
    <m/>
    <m/>
    <m/>
    <m/>
    <m/>
  </r>
  <r>
    <x v="1"/>
    <n v="9"/>
    <s v="CDMX"/>
    <x v="6"/>
    <s v="2017-2018"/>
    <x v="7"/>
    <n v="44212"/>
    <n v="18720"/>
    <n v="25492"/>
    <n v="144092"/>
    <n v="579"/>
    <n v="101"/>
    <n v="146"/>
    <n v="35156"/>
    <n v="393735.68071603618"/>
    <n v="25657"/>
    <n v="44532"/>
    <n v="8423"/>
    <m/>
    <m/>
    <n v="18370"/>
    <n v="7196"/>
    <n v="6851"/>
    <n v="4513"/>
    <n v="44212"/>
    <n v="727900113.59000003"/>
    <n v="2140"/>
    <n v="3705"/>
    <n v="10792"/>
    <n v="637"/>
    <m/>
    <m/>
    <m/>
    <n v="1500"/>
    <m/>
    <m/>
    <m/>
    <m/>
    <m/>
    <m/>
    <m/>
    <m/>
    <m/>
    <m/>
    <m/>
    <m/>
    <m/>
    <m/>
    <m/>
    <m/>
    <m/>
  </r>
  <r>
    <x v="0"/>
    <n v="5"/>
    <s v="COAH"/>
    <x v="7"/>
    <s v="2017-2018"/>
    <x v="7"/>
    <n v="10066"/>
    <n v="4262"/>
    <n v="5804"/>
    <n v="60662"/>
    <n v="134"/>
    <n v="45"/>
    <n v="37"/>
    <n v="8575"/>
    <n v="163739.33545428055"/>
    <n v="6033"/>
    <n v="9358"/>
    <n v="2223"/>
    <m/>
    <m/>
    <n v="3366"/>
    <n v="2042"/>
    <n v="1717"/>
    <n v="1686"/>
    <n v="10066"/>
    <n v="146240443.06"/>
    <n v="436"/>
    <n v="1141"/>
    <n v="716"/>
    <n v="92"/>
    <m/>
    <m/>
    <m/>
    <n v="194"/>
    <m/>
    <m/>
    <m/>
    <m/>
    <m/>
    <m/>
    <m/>
    <m/>
    <m/>
    <m/>
    <m/>
    <m/>
    <m/>
    <m/>
    <m/>
    <m/>
    <m/>
  </r>
  <r>
    <x v="0"/>
    <n v="6"/>
    <s v="COL"/>
    <x v="8"/>
    <s v="2017-2018"/>
    <x v="7"/>
    <n v="1866"/>
    <n v="701"/>
    <n v="1165"/>
    <n v="11068"/>
    <n v="48"/>
    <n v="5"/>
    <n v="11"/>
    <n v="1144"/>
    <n v="38113.864591336576"/>
    <n v="846"/>
    <n v="1986"/>
    <n v="379"/>
    <m/>
    <m/>
    <n v="823"/>
    <n v="305"/>
    <n v="288"/>
    <n v="259"/>
    <n v="1866"/>
    <n v="40848159.449999996"/>
    <n v="117"/>
    <n v="320"/>
    <n v="833"/>
    <n v="0"/>
    <m/>
    <m/>
    <m/>
    <n v="201"/>
    <m/>
    <m/>
    <m/>
    <m/>
    <m/>
    <m/>
    <m/>
    <m/>
    <m/>
    <m/>
    <m/>
    <m/>
    <m/>
    <m/>
    <m/>
    <m/>
    <m/>
  </r>
  <r>
    <x v="0"/>
    <n v="10"/>
    <s v="DGO"/>
    <x v="9"/>
    <s v="2017-2018"/>
    <x v="7"/>
    <n v="2067"/>
    <n v="935"/>
    <n v="1132"/>
    <n v="32676"/>
    <n v="52"/>
    <n v="17"/>
    <n v="8"/>
    <n v="1722"/>
    <n v="102443.98670163711"/>
    <n v="1074"/>
    <n v="2142"/>
    <n v="459"/>
    <m/>
    <m/>
    <n v="1025"/>
    <n v="398"/>
    <n v="403"/>
    <n v="275"/>
    <n v="2067"/>
    <n v="39988050.210000001"/>
    <n v="151"/>
    <n v="260"/>
    <n v="2362"/>
    <n v="179"/>
    <m/>
    <m/>
    <m/>
    <n v="37"/>
    <m/>
    <m/>
    <m/>
    <m/>
    <m/>
    <m/>
    <m/>
    <m/>
    <m/>
    <m/>
    <m/>
    <m/>
    <m/>
    <m/>
    <m/>
    <m/>
    <m/>
  </r>
  <r>
    <x v="0"/>
    <n v="11"/>
    <s v="GTO"/>
    <x v="10"/>
    <s v="2017-2018"/>
    <x v="7"/>
    <n v="18067"/>
    <n v="7538"/>
    <n v="10529"/>
    <n v="120616"/>
    <n v="288"/>
    <n v="71"/>
    <n v="65"/>
    <n v="15006"/>
    <n v="339322.14632718515"/>
    <n v="10205"/>
    <n v="17266"/>
    <n v="4311"/>
    <m/>
    <m/>
    <n v="6355"/>
    <n v="4047"/>
    <n v="4743"/>
    <n v="4477"/>
    <n v="18067"/>
    <n v="239110062.75999999"/>
    <n v="860"/>
    <n v="2187"/>
    <n v="8486"/>
    <n v="674"/>
    <m/>
    <m/>
    <m/>
    <n v="6537"/>
    <n v="12897"/>
    <m/>
    <m/>
    <m/>
    <m/>
    <m/>
    <m/>
    <m/>
    <m/>
    <m/>
    <m/>
    <m/>
    <m/>
    <m/>
    <m/>
    <m/>
    <m/>
  </r>
  <r>
    <x v="0"/>
    <n v="12"/>
    <s v="GRO"/>
    <x v="11"/>
    <s v="2017-2018"/>
    <x v="7"/>
    <n v="6152"/>
    <n v="2421"/>
    <n v="3731"/>
    <n v="67537"/>
    <n v="128"/>
    <n v="22"/>
    <n v="43"/>
    <n v="4956"/>
    <n v="221402.55210199981"/>
    <n v="3288"/>
    <n v="6290"/>
    <n v="1515"/>
    <m/>
    <m/>
    <n v="2541"/>
    <n v="1362"/>
    <n v="1363"/>
    <n v="760"/>
    <n v="6152"/>
    <n v="129986523.43000001"/>
    <n v="298"/>
    <n v="719"/>
    <n v="1480"/>
    <n v="1068"/>
    <m/>
    <m/>
    <m/>
    <n v="1175"/>
    <m/>
    <m/>
    <m/>
    <m/>
    <m/>
    <m/>
    <m/>
    <m/>
    <m/>
    <m/>
    <m/>
    <m/>
    <m/>
    <m/>
    <m/>
    <m/>
    <m/>
  </r>
  <r>
    <x v="0"/>
    <n v="13"/>
    <s v="HGO"/>
    <x v="12"/>
    <s v="2017-2018"/>
    <x v="7"/>
    <n v="3648"/>
    <n v="1434"/>
    <n v="2214"/>
    <n v="54631"/>
    <n v="71"/>
    <n v="34"/>
    <n v="19"/>
    <n v="3195"/>
    <n v="161393.80743884723"/>
    <n v="1711"/>
    <n v="3715"/>
    <n v="818"/>
    <m/>
    <m/>
    <n v="1417"/>
    <n v="693"/>
    <n v="710"/>
    <n v="703"/>
    <n v="3648"/>
    <n v="62427701.560000002"/>
    <n v="203"/>
    <n v="428"/>
    <n v="1175"/>
    <n v="361"/>
    <m/>
    <m/>
    <m/>
    <n v="408"/>
    <m/>
    <m/>
    <m/>
    <m/>
    <m/>
    <m/>
    <m/>
    <m/>
    <m/>
    <m/>
    <m/>
    <m/>
    <m/>
    <m/>
    <m/>
    <m/>
    <m/>
  </r>
  <r>
    <x v="0"/>
    <n v="14"/>
    <s v="JAL"/>
    <x v="13"/>
    <s v="2017-2018"/>
    <x v="7"/>
    <n v="14856"/>
    <n v="5950"/>
    <n v="8906"/>
    <n v="138980"/>
    <n v="276"/>
    <n v="36"/>
    <n v="68"/>
    <n v="11552"/>
    <n v="433694.28945317143"/>
    <n v="6319"/>
    <n v="14712"/>
    <n v="3214"/>
    <m/>
    <m/>
    <n v="5847"/>
    <n v="2823"/>
    <n v="2841"/>
    <n v="2194"/>
    <n v="14856"/>
    <n v="253606710.19"/>
    <n v="877"/>
    <n v="2084"/>
    <n v="8294"/>
    <n v="907"/>
    <m/>
    <m/>
    <m/>
    <n v="228"/>
    <n v="504"/>
    <m/>
    <m/>
    <m/>
    <m/>
    <m/>
    <m/>
    <m/>
    <m/>
    <m/>
    <m/>
    <m/>
    <m/>
    <m/>
    <m/>
    <m/>
    <m/>
  </r>
  <r>
    <x v="0"/>
    <n v="15"/>
    <s v="MEX"/>
    <x v="14"/>
    <s v="2017-2018"/>
    <x v="7"/>
    <n v="48591"/>
    <n v="18859"/>
    <n v="29732"/>
    <n v="291713"/>
    <n v="774"/>
    <n v="133"/>
    <n v="197"/>
    <n v="41890"/>
    <n v="914058.32544967113"/>
    <n v="24437"/>
    <n v="48274"/>
    <n v="10103"/>
    <m/>
    <m/>
    <n v="19347"/>
    <n v="8478"/>
    <n v="8197"/>
    <n v="6722"/>
    <n v="48591"/>
    <n v="739896898.45999992"/>
    <n v="2322"/>
    <n v="4445"/>
    <n v="14747"/>
    <n v="1031"/>
    <m/>
    <m/>
    <m/>
    <n v="30630"/>
    <n v="429"/>
    <m/>
    <m/>
    <m/>
    <m/>
    <m/>
    <m/>
    <m/>
    <m/>
    <m/>
    <m/>
    <m/>
    <m/>
    <m/>
    <m/>
    <m/>
    <m/>
  </r>
  <r>
    <x v="0"/>
    <n v="16"/>
    <s v="MICH"/>
    <x v="15"/>
    <s v="2017-2018"/>
    <x v="7"/>
    <n v="11181"/>
    <n v="4573"/>
    <n v="6608"/>
    <n v="70513"/>
    <n v="220"/>
    <n v="28"/>
    <n v="52"/>
    <n v="9395"/>
    <n v="257745.76093572829"/>
    <n v="5520"/>
    <n v="11186"/>
    <n v="2820"/>
    <m/>
    <m/>
    <n v="4533"/>
    <n v="2425"/>
    <n v="2396"/>
    <n v="2150"/>
    <n v="11181"/>
    <n v="202375074.75999999"/>
    <n v="447"/>
    <n v="1204"/>
    <n v="3982"/>
    <n v="270"/>
    <m/>
    <m/>
    <m/>
    <n v="7715"/>
    <m/>
    <m/>
    <m/>
    <m/>
    <m/>
    <m/>
    <m/>
    <m/>
    <m/>
    <m/>
    <m/>
    <m/>
    <m/>
    <m/>
    <m/>
    <m/>
    <m/>
  </r>
  <r>
    <x v="0"/>
    <n v="17"/>
    <s v="MOR"/>
    <x v="16"/>
    <s v="2017-2018"/>
    <x v="7"/>
    <n v="4697"/>
    <n v="1947"/>
    <n v="2750"/>
    <n v="31772"/>
    <n v="72"/>
    <n v="15"/>
    <n v="16"/>
    <n v="3864"/>
    <n v="101461.14491197071"/>
    <n v="2284"/>
    <n v="4719"/>
    <n v="1174"/>
    <m/>
    <m/>
    <n v="2047"/>
    <n v="1076"/>
    <n v="1040"/>
    <n v="957"/>
    <n v="4697"/>
    <n v="68201138.769999996"/>
    <n v="242"/>
    <n v="532"/>
    <n v="4191"/>
    <n v="373"/>
    <m/>
    <m/>
    <m/>
    <n v="1311"/>
    <m/>
    <m/>
    <m/>
    <m/>
    <m/>
    <m/>
    <m/>
    <m/>
    <m/>
    <m/>
    <m/>
    <m/>
    <m/>
    <m/>
    <m/>
    <m/>
    <m/>
  </r>
  <r>
    <x v="0"/>
    <n v="18"/>
    <s v="NAY"/>
    <x v="17"/>
    <s v="2017-2018"/>
    <x v="7"/>
    <n v="3065"/>
    <n v="1127"/>
    <n v="1938"/>
    <n v="19363"/>
    <n v="61"/>
    <n v="6"/>
    <n v="11"/>
    <n v="2634"/>
    <n v="67057.060818604514"/>
    <n v="1299"/>
    <n v="3195"/>
    <n v="643"/>
    <m/>
    <m/>
    <n v="1099"/>
    <n v="588"/>
    <n v="639"/>
    <n v="586"/>
    <n v="3065"/>
    <n v="51631392.890000001"/>
    <n v="123"/>
    <n v="361"/>
    <n v="629"/>
    <n v="82"/>
    <m/>
    <m/>
    <m/>
    <n v="0"/>
    <m/>
    <m/>
    <m/>
    <m/>
    <m/>
    <m/>
    <m/>
    <m/>
    <m/>
    <m/>
    <m/>
    <m/>
    <m/>
    <m/>
    <m/>
    <m/>
    <m/>
  </r>
  <r>
    <x v="0"/>
    <n v="19"/>
    <s v="NL"/>
    <x v="18"/>
    <s v="2017-2018"/>
    <x v="7"/>
    <n v="21351"/>
    <n v="8908"/>
    <n v="12443"/>
    <n v="95814"/>
    <n v="274"/>
    <n v="72"/>
    <n v="71"/>
    <n v="17358"/>
    <n v="265652.98023607361"/>
    <n v="9881"/>
    <n v="20067"/>
    <n v="4051"/>
    <m/>
    <m/>
    <n v="7442"/>
    <n v="3658"/>
    <n v="3684"/>
    <n v="3551"/>
    <n v="21351"/>
    <n v="211600752.72999999"/>
    <n v="1046"/>
    <n v="1549"/>
    <n v="38367"/>
    <n v="1787"/>
    <m/>
    <m/>
    <m/>
    <n v="62504"/>
    <n v="511"/>
    <m/>
    <m/>
    <m/>
    <m/>
    <m/>
    <m/>
    <m/>
    <m/>
    <m/>
    <m/>
    <m/>
    <m/>
    <m/>
    <m/>
    <m/>
    <m/>
  </r>
  <r>
    <x v="1"/>
    <n v="20"/>
    <s v="OAX"/>
    <x v="19"/>
    <s v="2017-2018"/>
    <x v="7"/>
    <n v="6380"/>
    <n v="2314"/>
    <n v="4066"/>
    <n v="72598"/>
    <n v="127"/>
    <n v="14"/>
    <n v="16"/>
    <n v="5239"/>
    <n v="236266.70574677282"/>
    <n v="2916"/>
    <n v="6379"/>
    <n v="1323"/>
    <m/>
    <m/>
    <n v="2259"/>
    <n v="1128"/>
    <n v="1203"/>
    <n v="888"/>
    <n v="6380"/>
    <n v="173164800.44999999"/>
    <n v="381"/>
    <n v="637"/>
    <n v="2055"/>
    <n v="36"/>
    <m/>
    <m/>
    <m/>
    <n v="372"/>
    <m/>
    <m/>
    <m/>
    <m/>
    <m/>
    <m/>
    <m/>
    <m/>
    <m/>
    <m/>
    <m/>
    <m/>
    <m/>
    <m/>
    <m/>
    <m/>
    <m/>
  </r>
  <r>
    <x v="0"/>
    <n v="21"/>
    <s v="PUE"/>
    <x v="20"/>
    <s v="2017-2018"/>
    <x v="7"/>
    <n v="7439"/>
    <n v="2917"/>
    <n v="4522"/>
    <n v="125596"/>
    <n v="161"/>
    <n v="37"/>
    <n v="42"/>
    <n v="6223"/>
    <n v="364173.02984084236"/>
    <n v="4223"/>
    <n v="7260"/>
    <n v="1855"/>
    <m/>
    <m/>
    <n v="2818"/>
    <n v="1669"/>
    <n v="1681"/>
    <n v="1562"/>
    <n v="7439"/>
    <n v="146685714.02000001"/>
    <n v="393"/>
    <n v="1005"/>
    <n v="4484"/>
    <n v="168"/>
    <m/>
    <m/>
    <m/>
    <n v="4232"/>
    <m/>
    <m/>
    <m/>
    <m/>
    <m/>
    <m/>
    <m/>
    <m/>
    <m/>
    <m/>
    <m/>
    <m/>
    <m/>
    <m/>
    <m/>
    <m/>
    <m/>
  </r>
  <r>
    <x v="0"/>
    <n v="22"/>
    <s v="QRO"/>
    <x v="21"/>
    <s v="2017-2018"/>
    <x v="7"/>
    <n v="3418"/>
    <n v="1463"/>
    <n v="1955"/>
    <n v="34515"/>
    <n v="66"/>
    <n v="16"/>
    <n v="25"/>
    <n v="2873"/>
    <n v="113026.69883774169"/>
    <n v="2071"/>
    <n v="3418"/>
    <n v="884"/>
    <m/>
    <m/>
    <n v="1476"/>
    <n v="811"/>
    <n v="754"/>
    <n v="723"/>
    <n v="3418"/>
    <n v="45334871.540000007"/>
    <n v="246"/>
    <n v="449"/>
    <n v="1617"/>
    <n v="71"/>
    <m/>
    <m/>
    <m/>
    <n v="0"/>
    <m/>
    <m/>
    <m/>
    <m/>
    <m/>
    <m/>
    <m/>
    <m/>
    <m/>
    <m/>
    <m/>
    <m/>
    <m/>
    <m/>
    <m/>
    <m/>
    <m/>
  </r>
  <r>
    <x v="0"/>
    <n v="23"/>
    <s v="QROO"/>
    <x v="22"/>
    <s v="2017-2018"/>
    <x v="7"/>
    <n v="8622"/>
    <n v="3406"/>
    <n v="5216"/>
    <n v="26440"/>
    <n v="109"/>
    <n v="15"/>
    <n v="29"/>
    <n v="7095"/>
    <n v="83978.873874572979"/>
    <n v="3817"/>
    <n v="8129"/>
    <n v="1739"/>
    <m/>
    <m/>
    <n v="2777"/>
    <n v="1512"/>
    <n v="1830"/>
    <n v="1697"/>
    <n v="8622"/>
    <n v="97942159.229999989"/>
    <n v="432"/>
    <n v="771"/>
    <n v="210"/>
    <n v="0"/>
    <m/>
    <m/>
    <m/>
    <n v="32"/>
    <m/>
    <m/>
    <m/>
    <m/>
    <m/>
    <m/>
    <m/>
    <m/>
    <m/>
    <m/>
    <m/>
    <m/>
    <m/>
    <m/>
    <m/>
    <m/>
    <m/>
  </r>
  <r>
    <x v="0"/>
    <n v="24"/>
    <s v="SLP"/>
    <x v="23"/>
    <s v="2017-2018"/>
    <x v="7"/>
    <n v="5729"/>
    <n v="2322"/>
    <n v="3407"/>
    <n v="58469"/>
    <n v="90"/>
    <n v="19"/>
    <n v="25"/>
    <n v="4445"/>
    <n v="159670.65915548397"/>
    <n v="3026"/>
    <n v="5400"/>
    <n v="1125"/>
    <m/>
    <m/>
    <n v="2096"/>
    <n v="989"/>
    <n v="980"/>
    <n v="921"/>
    <n v="5729"/>
    <n v="85770398.209999993"/>
    <n v="249"/>
    <n v="427"/>
    <n v="4791"/>
    <n v="190"/>
    <m/>
    <m/>
    <m/>
    <n v="851"/>
    <m/>
    <m/>
    <m/>
    <m/>
    <m/>
    <m/>
    <m/>
    <m/>
    <m/>
    <m/>
    <m/>
    <m/>
    <m/>
    <m/>
    <m/>
    <m/>
    <m/>
  </r>
  <r>
    <x v="0"/>
    <n v="25"/>
    <s v="SIN"/>
    <x v="24"/>
    <s v="2017-2018"/>
    <x v="7"/>
    <n v="8577"/>
    <n v="3909"/>
    <n v="4668"/>
    <n v="54201"/>
    <n v="216"/>
    <n v="67"/>
    <n v="42"/>
    <n v="7468"/>
    <n v="163676.19828688691"/>
    <n v="4442"/>
    <n v="7854"/>
    <n v="1915"/>
    <m/>
    <m/>
    <n v="3009"/>
    <n v="1739"/>
    <n v="2335"/>
    <n v="2244"/>
    <n v="8577"/>
    <n v="217435835.59"/>
    <n v="535"/>
    <n v="1117"/>
    <n v="410"/>
    <n v="241"/>
    <m/>
    <m/>
    <m/>
    <n v="28"/>
    <m/>
    <m/>
    <m/>
    <m/>
    <m/>
    <m/>
    <m/>
    <m/>
    <m/>
    <m/>
    <m/>
    <m/>
    <m/>
    <m/>
    <m/>
    <m/>
    <m/>
  </r>
  <r>
    <x v="0"/>
    <n v="26"/>
    <s v="SON"/>
    <x v="25"/>
    <s v="2017-2018"/>
    <x v="7"/>
    <n v="15277"/>
    <n v="6180"/>
    <n v="9097"/>
    <n v="48293"/>
    <n v="260"/>
    <n v="35"/>
    <n v="49"/>
    <n v="12888"/>
    <n v="159910.74779471883"/>
    <n v="6335"/>
    <n v="15385"/>
    <n v="2886"/>
    <m/>
    <m/>
    <n v="5686"/>
    <n v="2463"/>
    <n v="2385"/>
    <n v="1963"/>
    <n v="15277"/>
    <n v="220480112.47"/>
    <n v="605"/>
    <n v="857"/>
    <n v="7657"/>
    <n v="579"/>
    <m/>
    <m/>
    <m/>
    <n v="0"/>
    <m/>
    <m/>
    <m/>
    <m/>
    <m/>
    <m/>
    <m/>
    <m/>
    <m/>
    <m/>
    <m/>
    <m/>
    <m/>
    <m/>
    <m/>
    <m/>
    <m/>
  </r>
  <r>
    <x v="0"/>
    <n v="27"/>
    <s v="TAB"/>
    <x v="26"/>
    <s v="2017-2018"/>
    <x v="7"/>
    <n v="5685"/>
    <n v="2206"/>
    <n v="3479"/>
    <n v="40315"/>
    <n v="89"/>
    <n v="20"/>
    <n v="22"/>
    <n v="4884"/>
    <n v="133447.88163723628"/>
    <n v="2207"/>
    <n v="5584"/>
    <n v="1400"/>
    <m/>
    <m/>
    <n v="2162"/>
    <n v="1303"/>
    <n v="1341"/>
    <n v="1270"/>
    <n v="5685"/>
    <n v="109629582.92000002"/>
    <n v="294"/>
    <n v="484"/>
    <n v="1011"/>
    <n v="4"/>
    <m/>
    <m/>
    <m/>
    <n v="8"/>
    <m/>
    <m/>
    <m/>
    <m/>
    <m/>
    <m/>
    <m/>
    <m/>
    <m/>
    <m/>
    <m/>
    <m/>
    <m/>
    <m/>
    <m/>
    <m/>
    <m/>
  </r>
  <r>
    <x v="0"/>
    <n v="28"/>
    <s v="TAMPS"/>
    <x v="27"/>
    <s v="2017-2018"/>
    <x v="7"/>
    <n v="8707"/>
    <n v="3276"/>
    <n v="5431"/>
    <n v="53952"/>
    <n v="157"/>
    <n v="30"/>
    <n v="37"/>
    <n v="7558"/>
    <n v="187602.00965312397"/>
    <n v="3644"/>
    <n v="8929"/>
    <n v="2127"/>
    <m/>
    <m/>
    <n v="3511"/>
    <n v="1898"/>
    <n v="1856"/>
    <n v="1721"/>
    <n v="8707"/>
    <n v="170226883.19999999"/>
    <n v="392"/>
    <n v="1077"/>
    <n v="10735"/>
    <n v="177"/>
    <m/>
    <m/>
    <m/>
    <n v="95"/>
    <n v="711"/>
    <m/>
    <m/>
    <m/>
    <m/>
    <m/>
    <m/>
    <m/>
    <m/>
    <m/>
    <m/>
    <m/>
    <m/>
    <m/>
    <m/>
    <m/>
    <m/>
  </r>
  <r>
    <x v="0"/>
    <n v="29"/>
    <s v="TLAX"/>
    <x v="28"/>
    <s v="2017-2018"/>
    <x v="7"/>
    <n v="3243"/>
    <n v="1320"/>
    <n v="1923"/>
    <n v="23702"/>
    <n v="48"/>
    <n v="21"/>
    <n v="13"/>
    <n v="2929"/>
    <n v="74174.189282836684"/>
    <n v="1484"/>
    <n v="3036"/>
    <n v="688"/>
    <m/>
    <m/>
    <n v="1224"/>
    <n v="562"/>
    <n v="604"/>
    <n v="596"/>
    <n v="3243"/>
    <n v="41570346.460000008"/>
    <n v="176"/>
    <n v="455"/>
    <n v="1455"/>
    <n v="43"/>
    <m/>
    <m/>
    <m/>
    <n v="66"/>
    <m/>
    <m/>
    <m/>
    <m/>
    <m/>
    <m/>
    <m/>
    <m/>
    <m/>
    <m/>
    <m/>
    <m/>
    <m/>
    <m/>
    <m/>
    <m/>
    <m/>
  </r>
  <r>
    <x v="0"/>
    <n v="30"/>
    <s v="VER"/>
    <x v="29"/>
    <s v="2017-2018"/>
    <x v="7"/>
    <n v="9115"/>
    <n v="3208"/>
    <n v="5907"/>
    <n v="135695"/>
    <n v="176"/>
    <n v="40"/>
    <n v="78"/>
    <n v="7767"/>
    <n v="437150.9048392534"/>
    <n v="4837"/>
    <n v="9302"/>
    <n v="2432"/>
    <m/>
    <m/>
    <n v="3471"/>
    <n v="2218"/>
    <n v="2121"/>
    <n v="1869"/>
    <n v="9115"/>
    <n v="223349061.37000003"/>
    <n v="549"/>
    <n v="1543"/>
    <n v="5496"/>
    <n v="115"/>
    <m/>
    <m/>
    <m/>
    <n v="580"/>
    <n v="631"/>
    <m/>
    <m/>
    <m/>
    <m/>
    <m/>
    <m/>
    <m/>
    <m/>
    <m/>
    <m/>
    <m/>
    <m/>
    <m/>
    <m/>
    <m/>
    <m/>
  </r>
  <r>
    <x v="0"/>
    <n v="31"/>
    <s v="YUC"/>
    <x v="30"/>
    <s v="2017-2018"/>
    <x v="7"/>
    <n v="5258"/>
    <n v="2052"/>
    <n v="3206"/>
    <n v="36412"/>
    <n v="69"/>
    <n v="10"/>
    <n v="17"/>
    <n v="3892"/>
    <n v="110577.73312521525"/>
    <n v="2516"/>
    <n v="5114"/>
    <n v="1149"/>
    <m/>
    <m/>
    <n v="1794"/>
    <n v="1031"/>
    <n v="982"/>
    <n v="792"/>
    <n v="5258"/>
    <n v="98997778.909999996"/>
    <n v="272"/>
    <n v="484"/>
    <n v="4545"/>
    <n v="421"/>
    <m/>
    <m/>
    <m/>
    <n v="429"/>
    <m/>
    <m/>
    <m/>
    <m/>
    <m/>
    <m/>
    <m/>
    <m/>
    <m/>
    <m/>
    <m/>
    <m/>
    <m/>
    <m/>
    <m/>
    <m/>
    <m/>
  </r>
  <r>
    <x v="0"/>
    <n v="32"/>
    <s v="ZAC"/>
    <x v="31"/>
    <s v="2017-2018"/>
    <x v="7"/>
    <n v="1552"/>
    <n v="675"/>
    <n v="877"/>
    <n v="28539"/>
    <n v="51"/>
    <n v="12"/>
    <n v="9"/>
    <n v="1230"/>
    <n v="89510.408551906468"/>
    <n v="746"/>
    <n v="1610"/>
    <n v="305"/>
    <m/>
    <m/>
    <n v="695"/>
    <n v="260"/>
    <n v="292"/>
    <n v="288"/>
    <n v="1552"/>
    <n v="36192694.990000002"/>
    <n v="74"/>
    <n v="197"/>
    <n v="2319"/>
    <n v="84"/>
    <m/>
    <m/>
    <m/>
    <n v="0"/>
    <m/>
    <m/>
    <m/>
    <m/>
    <m/>
    <m/>
    <m/>
    <m/>
    <m/>
    <m/>
    <m/>
    <m/>
    <m/>
    <m/>
    <m/>
    <m/>
    <m/>
  </r>
  <r>
    <x v="2"/>
    <n v="33"/>
    <s v="OTRO"/>
    <x v="32"/>
    <s v="2017-2018"/>
    <x v="7"/>
    <m/>
    <m/>
    <m/>
    <m/>
    <m/>
    <m/>
    <m/>
    <m/>
    <m/>
    <m/>
    <m/>
    <m/>
    <m/>
    <m/>
    <m/>
    <m/>
    <m/>
    <m/>
    <m/>
    <m/>
    <m/>
    <m/>
    <m/>
    <m/>
    <m/>
    <m/>
    <m/>
    <n v="187"/>
    <m/>
    <m/>
    <m/>
    <m/>
    <m/>
    <m/>
    <m/>
    <m/>
    <m/>
    <m/>
    <m/>
    <m/>
    <m/>
    <m/>
    <m/>
    <m/>
    <m/>
  </r>
  <r>
    <x v="1"/>
    <n v="0"/>
    <s v="ON"/>
    <x v="33"/>
    <s v="2017-2018"/>
    <x v="7"/>
    <m/>
    <m/>
    <m/>
    <m/>
    <m/>
    <m/>
    <m/>
    <m/>
    <m/>
    <m/>
    <m/>
    <m/>
    <m/>
    <m/>
    <m/>
    <m/>
    <m/>
    <m/>
    <m/>
    <m/>
    <m/>
    <m/>
    <n v="3330"/>
    <m/>
    <m/>
    <m/>
    <m/>
    <n v="459"/>
    <m/>
    <n v="364874.22713000007"/>
    <n v="1581332.3219999999"/>
    <n v="1581332.3219999999"/>
    <n v="1587194"/>
    <n v="1532193.57"/>
    <n v="1532193.57"/>
    <n v="1522202.77"/>
    <n v="1528064.0179999999"/>
    <n v="59130"/>
    <n v="59130"/>
    <n v="49138.752"/>
    <n v="1581332.3219999999"/>
    <n v="49482.362999999998"/>
    <n v="55000"/>
    <n v="1581332.3219999999"/>
    <n v="1587193.57"/>
  </r>
  <r>
    <x v="0"/>
    <n v="1"/>
    <s v="AGS"/>
    <x v="0"/>
    <s v="2018-2019"/>
    <x v="8"/>
    <n v="4691"/>
    <n v="1689"/>
    <n v="3002"/>
    <n v="21805"/>
    <n v="84"/>
    <n v="11"/>
    <n v="21"/>
    <n v="4334"/>
    <n v="75808.311396180841"/>
    <n v="2929"/>
    <n v="4662"/>
    <n v="1234"/>
    <n v="770"/>
    <n v="4496"/>
    <n v="1765"/>
    <n v="1070"/>
    <n v="1194"/>
    <n v="1064"/>
    <n v="4691"/>
    <n v="70616739.590000004"/>
    <n v="280"/>
    <n v="429"/>
    <n v="3514"/>
    <n v="298"/>
    <m/>
    <m/>
    <n v="1732"/>
    <n v="1532"/>
    <m/>
    <m/>
    <m/>
    <m/>
    <m/>
    <m/>
    <m/>
    <m/>
    <m/>
    <m/>
    <m/>
    <m/>
    <m/>
    <m/>
    <m/>
    <m/>
    <m/>
  </r>
  <r>
    <x v="0"/>
    <n v="2"/>
    <s v="BC"/>
    <x v="1"/>
    <s v="2018-2019"/>
    <x v="8"/>
    <n v="8462"/>
    <n v="3296"/>
    <n v="5166"/>
    <n v="56479"/>
    <n v="125"/>
    <n v="32"/>
    <n v="24"/>
    <n v="6581"/>
    <n v="186658.86964677856"/>
    <n v="3633"/>
    <n v="8249"/>
    <n v="1657"/>
    <n v="2349"/>
    <n v="7357"/>
    <n v="3651"/>
    <n v="1412"/>
    <n v="1263"/>
    <n v="1059"/>
    <n v="8462"/>
    <n v="138342186.01499999"/>
    <n v="401"/>
    <n v="749"/>
    <n v="5453"/>
    <n v="42"/>
    <m/>
    <m/>
    <n v="68"/>
    <n v="66"/>
    <n v="191"/>
    <m/>
    <m/>
    <m/>
    <m/>
    <m/>
    <m/>
    <m/>
    <m/>
    <m/>
    <m/>
    <m/>
    <m/>
    <m/>
    <m/>
    <m/>
    <m/>
  </r>
  <r>
    <x v="0"/>
    <n v="3"/>
    <s v="BCS"/>
    <x v="2"/>
    <s v="2018-2019"/>
    <x v="8"/>
    <n v="1697"/>
    <n v="679"/>
    <n v="1018"/>
    <n v="11931"/>
    <n v="18"/>
    <n v="5"/>
    <n v="1"/>
    <n v="1302"/>
    <n v="42737.553261914298"/>
    <n v="998"/>
    <n v="1664"/>
    <n v="407"/>
    <n v="304"/>
    <n v="1544"/>
    <n v="660"/>
    <n v="344"/>
    <n v="352"/>
    <n v="343"/>
    <n v="1697"/>
    <n v="34713244.295000002"/>
    <n v="86"/>
    <n v="217"/>
    <n v="892"/>
    <n v="1"/>
    <m/>
    <m/>
    <n v="28"/>
    <n v="26"/>
    <m/>
    <m/>
    <m/>
    <m/>
    <m/>
    <m/>
    <m/>
    <m/>
    <m/>
    <m/>
    <m/>
    <m/>
    <m/>
    <m/>
    <m/>
    <m/>
    <m/>
  </r>
  <r>
    <x v="0"/>
    <n v="4"/>
    <s v="CAMP"/>
    <x v="3"/>
    <s v="2018-2019"/>
    <x v="8"/>
    <n v="1896"/>
    <n v="798"/>
    <n v="1098"/>
    <n v="14821"/>
    <n v="41"/>
    <n v="9"/>
    <n v="12"/>
    <n v="1410"/>
    <n v="48515.707763085884"/>
    <n v="890"/>
    <n v="1809"/>
    <n v="399"/>
    <n v="385"/>
    <n v="1634"/>
    <n v="753"/>
    <n v="347"/>
    <n v="348"/>
    <n v="331"/>
    <n v="1896"/>
    <n v="41514866.774999999"/>
    <n v="103"/>
    <n v="331"/>
    <n v="4126"/>
    <n v="28"/>
    <m/>
    <m/>
    <n v="610"/>
    <n v="412"/>
    <m/>
    <m/>
    <m/>
    <m/>
    <m/>
    <m/>
    <m/>
    <m/>
    <m/>
    <m/>
    <m/>
    <m/>
    <m/>
    <m/>
    <m/>
    <m/>
    <m/>
  </r>
  <r>
    <x v="0"/>
    <n v="7"/>
    <s v="CHIAP"/>
    <x v="4"/>
    <s v="2018-2019"/>
    <x v="8"/>
    <n v="7012"/>
    <n v="2491"/>
    <n v="4521"/>
    <n v="92666"/>
    <n v="161"/>
    <n v="18"/>
    <n v="49"/>
    <n v="5908"/>
    <n v="337660.69736999623"/>
    <n v="3014"/>
    <n v="7408"/>
    <n v="1967"/>
    <n v="1235"/>
    <n v="6960"/>
    <n v="2774"/>
    <n v="1786"/>
    <n v="1669"/>
    <n v="1457"/>
    <n v="7012"/>
    <n v="178638342.06"/>
    <n v="404"/>
    <n v="714"/>
    <n v="2459"/>
    <n v="59"/>
    <m/>
    <m/>
    <n v="104"/>
    <n v="92"/>
    <m/>
    <m/>
    <m/>
    <m/>
    <m/>
    <m/>
    <m/>
    <m/>
    <m/>
    <m/>
    <m/>
    <m/>
    <m/>
    <m/>
    <m/>
    <m/>
    <m/>
  </r>
  <r>
    <x v="0"/>
    <n v="8"/>
    <s v="CHIH"/>
    <x v="5"/>
    <s v="2018-2019"/>
    <x v="8"/>
    <n v="8573"/>
    <n v="3347"/>
    <n v="5226"/>
    <n v="55045"/>
    <n v="153"/>
    <n v="47"/>
    <n v="29"/>
    <n v="7550"/>
    <n v="203462.17822436258"/>
    <n v="4072"/>
    <n v="9203"/>
    <n v="2135"/>
    <n v="1907"/>
    <n v="8048"/>
    <n v="4125"/>
    <n v="1917"/>
    <n v="1759"/>
    <n v="1559"/>
    <n v="8573"/>
    <n v="170095384.97"/>
    <n v="579"/>
    <n v="983"/>
    <n v="7969"/>
    <n v="433"/>
    <m/>
    <m/>
    <n v="767"/>
    <n v="752"/>
    <n v="898"/>
    <m/>
    <m/>
    <m/>
    <m/>
    <m/>
    <m/>
    <m/>
    <m/>
    <m/>
    <m/>
    <m/>
    <m/>
    <m/>
    <m/>
    <m/>
    <m/>
  </r>
  <r>
    <x v="1"/>
    <n v="9"/>
    <s v="CDMX"/>
    <x v="6"/>
    <s v="2018-2019"/>
    <x v="8"/>
    <n v="44161"/>
    <n v="18512"/>
    <n v="25649"/>
    <n v="143823"/>
    <n v="582"/>
    <n v="136"/>
    <n v="134"/>
    <n v="35063"/>
    <n v="389384.78122435423"/>
    <n v="24850"/>
    <n v="44212"/>
    <n v="9312"/>
    <n v="12730"/>
    <n v="38202"/>
    <n v="19962"/>
    <n v="7909"/>
    <n v="7196"/>
    <n v="4704"/>
    <n v="44161"/>
    <n v="694705445.45000005"/>
    <n v="2173"/>
    <n v="3705"/>
    <n v="8387"/>
    <n v="998"/>
    <m/>
    <m/>
    <n v="1998"/>
    <n v="1708"/>
    <m/>
    <m/>
    <m/>
    <m/>
    <m/>
    <m/>
    <m/>
    <m/>
    <m/>
    <m/>
    <m/>
    <m/>
    <m/>
    <m/>
    <m/>
    <m/>
    <m/>
  </r>
  <r>
    <x v="0"/>
    <n v="5"/>
    <s v="COAH"/>
    <x v="7"/>
    <s v="2018-2019"/>
    <x v="8"/>
    <n v="10398"/>
    <n v="3963"/>
    <n v="6435"/>
    <n v="59454"/>
    <n v="134"/>
    <n v="45"/>
    <n v="37"/>
    <n v="9011"/>
    <n v="163335.43795797112"/>
    <n v="5009"/>
    <n v="10066"/>
    <n v="2703"/>
    <n v="776"/>
    <n v="9579"/>
    <n v="4120"/>
    <n v="2500"/>
    <n v="2042"/>
    <n v="2036"/>
    <n v="10398"/>
    <n v="150515608.10499999"/>
    <n v="419"/>
    <n v="1141"/>
    <n v="3892"/>
    <n v="34"/>
    <m/>
    <m/>
    <n v="357"/>
    <n v="335"/>
    <m/>
    <m/>
    <m/>
    <m/>
    <m/>
    <m/>
    <m/>
    <m/>
    <m/>
    <m/>
    <m/>
    <m/>
    <m/>
    <m/>
    <m/>
    <m/>
    <m/>
  </r>
  <r>
    <x v="0"/>
    <n v="6"/>
    <s v="COL"/>
    <x v="8"/>
    <s v="2018-2019"/>
    <x v="8"/>
    <n v="1891"/>
    <n v="763"/>
    <n v="1128"/>
    <n v="10048"/>
    <n v="47"/>
    <n v="6"/>
    <n v="11"/>
    <n v="1231"/>
    <n v="38472.361797444217"/>
    <n v="872"/>
    <n v="1866"/>
    <n v="425"/>
    <n v="468"/>
    <n v="1652"/>
    <n v="883"/>
    <n v="343"/>
    <n v="305"/>
    <n v="273"/>
    <n v="1891"/>
    <n v="41980594.155000001"/>
    <n v="124"/>
    <n v="320"/>
    <n v="1128"/>
    <n v="34"/>
    <m/>
    <m/>
    <n v="217"/>
    <n v="215"/>
    <m/>
    <m/>
    <m/>
    <m/>
    <m/>
    <m/>
    <m/>
    <m/>
    <m/>
    <m/>
    <m/>
    <m/>
    <m/>
    <m/>
    <m/>
    <m/>
    <m/>
  </r>
  <r>
    <x v="0"/>
    <n v="10"/>
    <s v="DGO"/>
    <x v="9"/>
    <s v="2018-2019"/>
    <x v="8"/>
    <n v="1930"/>
    <n v="744"/>
    <n v="1186"/>
    <n v="32285"/>
    <n v="51"/>
    <n v="19"/>
    <n v="10"/>
    <n v="1565"/>
    <n v="101820.24451699779"/>
    <n v="835"/>
    <n v="2067"/>
    <n v="408"/>
    <n v="508"/>
    <n v="1751"/>
    <n v="936"/>
    <n v="360"/>
    <n v="398"/>
    <n v="283"/>
    <n v="1930"/>
    <n v="41121216.439999998"/>
    <n v="156"/>
    <n v="260"/>
    <n v="3123"/>
    <n v="57"/>
    <m/>
    <m/>
    <n v="275"/>
    <n v="223"/>
    <m/>
    <m/>
    <m/>
    <m/>
    <m/>
    <m/>
    <m/>
    <m/>
    <m/>
    <m/>
    <m/>
    <m/>
    <m/>
    <m/>
    <m/>
    <m/>
    <m/>
  </r>
  <r>
    <x v="0"/>
    <n v="11"/>
    <s v="GTO"/>
    <x v="10"/>
    <s v="2018-2019"/>
    <x v="8"/>
    <n v="18132"/>
    <n v="6642"/>
    <n v="11490"/>
    <n v="120395"/>
    <n v="293"/>
    <n v="94"/>
    <n v="82"/>
    <n v="15005"/>
    <n v="336593.79068756441"/>
    <n v="8813"/>
    <n v="18067"/>
    <n v="4452"/>
    <n v="3578"/>
    <n v="17114"/>
    <n v="6444"/>
    <n v="4130"/>
    <n v="4047"/>
    <n v="3859"/>
    <n v="18132"/>
    <n v="262369796.815"/>
    <n v="863"/>
    <n v="2187"/>
    <n v="8126"/>
    <n v="516"/>
    <m/>
    <m/>
    <n v="8414"/>
    <n v="6410"/>
    <n v="16429"/>
    <m/>
    <m/>
    <m/>
    <m/>
    <m/>
    <m/>
    <m/>
    <m/>
    <m/>
    <m/>
    <m/>
    <m/>
    <m/>
    <m/>
    <m/>
    <m/>
  </r>
  <r>
    <x v="0"/>
    <n v="12"/>
    <s v="GRO"/>
    <x v="11"/>
    <s v="2018-2019"/>
    <x v="8"/>
    <n v="6134"/>
    <n v="2388"/>
    <n v="3746"/>
    <n v="65658"/>
    <n v="129"/>
    <n v="22"/>
    <n v="43"/>
    <n v="4957"/>
    <n v="219410.76827348556"/>
    <n v="3143"/>
    <n v="6152"/>
    <n v="1536"/>
    <n v="1461"/>
    <n v="5674"/>
    <n v="2626"/>
    <n v="1375"/>
    <n v="1362"/>
    <n v="875"/>
    <n v="6134"/>
    <n v="144889688"/>
    <n v="297"/>
    <n v="719"/>
    <n v="7440"/>
    <n v="1041"/>
    <m/>
    <m/>
    <n v="1289"/>
    <n v="852"/>
    <m/>
    <m/>
    <m/>
    <m/>
    <m/>
    <m/>
    <m/>
    <m/>
    <m/>
    <m/>
    <m/>
    <m/>
    <m/>
    <m/>
    <m/>
    <m/>
    <m/>
  </r>
  <r>
    <x v="0"/>
    <n v="13"/>
    <s v="HGO"/>
    <x v="12"/>
    <s v="2018-2019"/>
    <x v="8"/>
    <n v="3519"/>
    <n v="1421"/>
    <n v="2098"/>
    <n v="53733"/>
    <n v="69"/>
    <n v="38"/>
    <n v="17"/>
    <n v="3102"/>
    <n v="161832.19050681879"/>
    <n v="1648"/>
    <n v="3648"/>
    <n v="934"/>
    <n v="597"/>
    <n v="3341"/>
    <n v="1678"/>
    <n v="835"/>
    <n v="693"/>
    <n v="687"/>
    <n v="3519"/>
    <n v="64281548.229999997"/>
    <n v="205"/>
    <n v="428"/>
    <n v="1323"/>
    <n v="501"/>
    <m/>
    <m/>
    <n v="126"/>
    <n v="105"/>
    <m/>
    <m/>
    <m/>
    <m/>
    <m/>
    <m/>
    <m/>
    <m/>
    <m/>
    <m/>
    <m/>
    <m/>
    <m/>
    <m/>
    <m/>
    <m/>
    <m/>
  </r>
  <r>
    <x v="0"/>
    <n v="14"/>
    <s v="JAL"/>
    <x v="13"/>
    <s v="2018-2019"/>
    <x v="8"/>
    <n v="14341"/>
    <n v="5515"/>
    <n v="8826"/>
    <n v="134896"/>
    <n v="272"/>
    <n v="36"/>
    <n v="67"/>
    <n v="11644"/>
    <n v="433925.91746385908"/>
    <n v="5788"/>
    <n v="14856"/>
    <n v="3444"/>
    <n v="2927"/>
    <n v="13563"/>
    <n v="5953"/>
    <n v="3056"/>
    <n v="2823"/>
    <n v="2409"/>
    <n v="14341"/>
    <n v="265319155.36000001"/>
    <n v="818"/>
    <n v="2084"/>
    <n v="12472"/>
    <n v="793"/>
    <m/>
    <m/>
    <n v="236"/>
    <n v="158"/>
    <n v="602"/>
    <m/>
    <m/>
    <m/>
    <m/>
    <m/>
    <m/>
    <m/>
    <m/>
    <m/>
    <m/>
    <m/>
    <m/>
    <m/>
    <m/>
    <m/>
    <m/>
  </r>
  <r>
    <x v="0"/>
    <n v="15"/>
    <s v="MEX"/>
    <x v="14"/>
    <s v="2018-2019"/>
    <x v="8"/>
    <n v="47926"/>
    <n v="18922"/>
    <n v="29004"/>
    <n v="276938"/>
    <n v="799"/>
    <n v="182"/>
    <n v="205"/>
    <n v="41514"/>
    <n v="915661.71066119196"/>
    <n v="23969"/>
    <n v="48591"/>
    <n v="11056"/>
    <n v="8557"/>
    <n v="44232"/>
    <n v="20621"/>
    <n v="9450"/>
    <n v="8478"/>
    <n v="6665"/>
    <n v="47926"/>
    <n v="760825417.91999996"/>
    <n v="2280"/>
    <n v="4445"/>
    <n v="11415"/>
    <n v="1216"/>
    <m/>
    <m/>
    <n v="78681"/>
    <n v="67149"/>
    <n v="816"/>
    <m/>
    <m/>
    <m/>
    <m/>
    <m/>
    <m/>
    <m/>
    <m/>
    <m/>
    <m/>
    <m/>
    <m/>
    <m/>
    <m/>
    <m/>
    <m/>
  </r>
  <r>
    <x v="0"/>
    <n v="16"/>
    <s v="MICH"/>
    <x v="15"/>
    <s v="2018-2019"/>
    <x v="8"/>
    <n v="11087"/>
    <n v="4376"/>
    <n v="6711"/>
    <n v="64370"/>
    <n v="221"/>
    <n v="28"/>
    <n v="52"/>
    <n v="9457"/>
    <n v="255970.68001497566"/>
    <n v="5108"/>
    <n v="11181"/>
    <n v="2701"/>
    <n v="1051"/>
    <n v="10126"/>
    <n v="4395"/>
    <n v="2319"/>
    <n v="2425"/>
    <n v="2101"/>
    <n v="11087"/>
    <n v="207638682.71000001"/>
    <n v="440"/>
    <n v="1204"/>
    <n v="2699"/>
    <n v="428"/>
    <m/>
    <m/>
    <n v="11720"/>
    <n v="7206"/>
    <m/>
    <m/>
    <m/>
    <m/>
    <m/>
    <m/>
    <m/>
    <m/>
    <m/>
    <m/>
    <m/>
    <m/>
    <m/>
    <m/>
    <m/>
    <m/>
    <m/>
  </r>
  <r>
    <x v="0"/>
    <n v="17"/>
    <s v="MOR"/>
    <x v="16"/>
    <s v="2018-2019"/>
    <x v="8"/>
    <n v="4640"/>
    <n v="1846"/>
    <n v="2794"/>
    <n v="31140"/>
    <n v="74"/>
    <n v="15"/>
    <n v="13"/>
    <n v="3870"/>
    <n v="101124.76256756038"/>
    <n v="2179"/>
    <n v="4697"/>
    <n v="1134"/>
    <n v="956"/>
    <n v="4189"/>
    <n v="1929"/>
    <n v="1036"/>
    <n v="1076"/>
    <n v="978"/>
    <n v="4640"/>
    <n v="70347282.655000001"/>
    <n v="238"/>
    <n v="532"/>
    <n v="2994"/>
    <n v="612"/>
    <m/>
    <m/>
    <n v="1887"/>
    <n v="1873"/>
    <m/>
    <m/>
    <m/>
    <m/>
    <m/>
    <m/>
    <m/>
    <m/>
    <m/>
    <m/>
    <m/>
    <m/>
    <m/>
    <m/>
    <m/>
    <m/>
    <m/>
  </r>
  <r>
    <x v="0"/>
    <n v="18"/>
    <s v="NAY"/>
    <x v="17"/>
    <s v="2018-2019"/>
    <x v="8"/>
    <n v="2794"/>
    <n v="1114"/>
    <n v="1680"/>
    <n v="18794"/>
    <n v="59"/>
    <n v="10"/>
    <n v="14"/>
    <n v="2431"/>
    <n v="67820.162576919043"/>
    <n v="1332"/>
    <n v="3065"/>
    <n v="698"/>
    <n v="808"/>
    <n v="2638"/>
    <n v="1264"/>
    <n v="630"/>
    <n v="588"/>
    <n v="421"/>
    <n v="2794"/>
    <n v="52976716.07"/>
    <n v="124"/>
    <n v="361"/>
    <n v="2109"/>
    <n v="111"/>
    <m/>
    <m/>
    <n v="2"/>
    <n v="2"/>
    <m/>
    <m/>
    <m/>
    <m/>
    <m/>
    <m/>
    <m/>
    <m/>
    <m/>
    <m/>
    <m/>
    <m/>
    <m/>
    <m/>
    <m/>
    <m/>
    <m/>
  </r>
  <r>
    <x v="0"/>
    <n v="19"/>
    <s v="NL"/>
    <x v="18"/>
    <s v="2018-2019"/>
    <x v="8"/>
    <n v="21326"/>
    <n v="7840"/>
    <n v="13486"/>
    <n v="94982"/>
    <n v="295"/>
    <n v="66"/>
    <n v="78"/>
    <n v="17243"/>
    <n v="266980.64734868531"/>
    <n v="9033"/>
    <n v="21351"/>
    <n v="4726"/>
    <n v="4121"/>
    <n v="19837"/>
    <n v="8223"/>
    <n v="4378"/>
    <n v="3658"/>
    <n v="3518"/>
    <n v="21326"/>
    <n v="243463751.80000001"/>
    <n v="1084"/>
    <n v="1549"/>
    <n v="27119"/>
    <n v="2664"/>
    <m/>
    <m/>
    <n v="90276"/>
    <n v="58432"/>
    <n v="426"/>
    <m/>
    <m/>
    <m/>
    <m/>
    <m/>
    <m/>
    <m/>
    <m/>
    <m/>
    <m/>
    <m/>
    <m/>
    <m/>
    <m/>
    <m/>
    <m/>
  </r>
  <r>
    <x v="1"/>
    <n v="20"/>
    <s v="OAX"/>
    <x v="19"/>
    <s v="2018-2019"/>
    <x v="8"/>
    <n v="6115"/>
    <n v="2220"/>
    <n v="3895"/>
    <n v="65886"/>
    <n v="119"/>
    <n v="25"/>
    <n v="29"/>
    <n v="5054"/>
    <n v="234207.61868783121"/>
    <n v="2753"/>
    <n v="6380"/>
    <n v="1573"/>
    <n v="1422"/>
    <n v="5933"/>
    <n v="2568"/>
    <n v="1373"/>
    <n v="1128"/>
    <n v="789"/>
    <n v="6115"/>
    <n v="198204901.90000001"/>
    <n v="400"/>
    <n v="637"/>
    <n v="3586"/>
    <n v="20"/>
    <m/>
    <m/>
    <n v="635"/>
    <n v="549"/>
    <m/>
    <m/>
    <m/>
    <m/>
    <m/>
    <m/>
    <m/>
    <m/>
    <m/>
    <m/>
    <m/>
    <m/>
    <m/>
    <m/>
    <m/>
    <m/>
    <m/>
  </r>
  <r>
    <x v="0"/>
    <n v="21"/>
    <s v="PUE"/>
    <x v="20"/>
    <s v="2018-2019"/>
    <x v="8"/>
    <n v="7310"/>
    <n v="2756"/>
    <n v="4554"/>
    <n v="120674"/>
    <n v="151"/>
    <n v="36"/>
    <n v="40"/>
    <n v="6135"/>
    <n v="362648.64012946235"/>
    <n v="3917"/>
    <n v="7439"/>
    <n v="1955"/>
    <n v="764"/>
    <n v="6929"/>
    <n v="2822"/>
    <n v="1769"/>
    <n v="1669"/>
    <n v="1497"/>
    <n v="7310"/>
    <n v="151077190.185"/>
    <n v="397"/>
    <n v="1005"/>
    <n v="3898"/>
    <n v="151"/>
    <m/>
    <m/>
    <n v="4572"/>
    <n v="3346"/>
    <m/>
    <m/>
    <m/>
    <m/>
    <m/>
    <m/>
    <m/>
    <m/>
    <m/>
    <m/>
    <m/>
    <m/>
    <m/>
    <m/>
    <m/>
    <m/>
    <m/>
  </r>
  <r>
    <x v="0"/>
    <n v="22"/>
    <s v="QRO"/>
    <x v="21"/>
    <s v="2018-2019"/>
    <x v="8"/>
    <n v="3473"/>
    <n v="1380"/>
    <n v="2093"/>
    <n v="34202"/>
    <n v="67"/>
    <n v="24"/>
    <n v="28"/>
    <n v="2993"/>
    <n v="112953.81869980853"/>
    <n v="1968"/>
    <n v="3418"/>
    <n v="829"/>
    <n v="797"/>
    <n v="3178"/>
    <n v="1374"/>
    <n v="745"/>
    <n v="811"/>
    <n v="778"/>
    <n v="3473"/>
    <n v="53835720.295000002"/>
    <n v="241"/>
    <n v="449"/>
    <n v="1223"/>
    <n v="80"/>
    <m/>
    <m/>
    <n v="4"/>
    <n v="2"/>
    <m/>
    <m/>
    <m/>
    <m/>
    <m/>
    <m/>
    <m/>
    <m/>
    <m/>
    <m/>
    <m/>
    <m/>
    <m/>
    <m/>
    <m/>
    <m/>
    <m/>
  </r>
  <r>
    <x v="0"/>
    <n v="23"/>
    <s v="QROO"/>
    <x v="22"/>
    <s v="2018-2019"/>
    <x v="8"/>
    <n v="8590"/>
    <n v="3139"/>
    <n v="5451"/>
    <n v="26046"/>
    <n v="109"/>
    <n v="15"/>
    <n v="29"/>
    <n v="6895"/>
    <n v="85062.009804503905"/>
    <n v="3612"/>
    <n v="8622"/>
    <n v="1955"/>
    <n v="1409"/>
    <n v="8020"/>
    <n v="3286"/>
    <n v="1786"/>
    <n v="1512"/>
    <n v="1353"/>
    <n v="8590"/>
    <n v="100698271.145"/>
    <n v="425"/>
    <n v="771"/>
    <n v="2332"/>
    <n v="11"/>
    <m/>
    <m/>
    <n v="174"/>
    <n v="148"/>
    <m/>
    <m/>
    <m/>
    <m/>
    <m/>
    <m/>
    <m/>
    <m/>
    <m/>
    <m/>
    <m/>
    <m/>
    <m/>
    <m/>
    <m/>
    <m/>
    <m/>
  </r>
  <r>
    <x v="0"/>
    <n v="24"/>
    <s v="SLP"/>
    <x v="23"/>
    <s v="2018-2019"/>
    <x v="8"/>
    <n v="5259"/>
    <n v="1930"/>
    <n v="3329"/>
    <n v="57201"/>
    <n v="99"/>
    <n v="24"/>
    <n v="24"/>
    <n v="4224"/>
    <n v="158793.48904400849"/>
    <n v="2424"/>
    <n v="5729"/>
    <n v="1320"/>
    <n v="1411"/>
    <n v="5053"/>
    <n v="2258"/>
    <n v="1163"/>
    <n v="989"/>
    <n v="912"/>
    <n v="5259"/>
    <n v="88231432.405000001"/>
    <n v="246"/>
    <n v="427"/>
    <n v="3301"/>
    <n v="87"/>
    <m/>
    <m/>
    <n v="578"/>
    <n v="556"/>
    <m/>
    <m/>
    <m/>
    <m/>
    <m/>
    <m/>
    <m/>
    <m/>
    <m/>
    <m/>
    <m/>
    <m/>
    <m/>
    <m/>
    <m/>
    <m/>
    <m/>
  </r>
  <r>
    <x v="0"/>
    <n v="25"/>
    <s v="SIN"/>
    <x v="24"/>
    <s v="2018-2019"/>
    <x v="8"/>
    <n v="8604"/>
    <n v="3373"/>
    <n v="5231"/>
    <n v="52946"/>
    <n v="234"/>
    <n v="72"/>
    <n v="42"/>
    <n v="7544"/>
    <n v="162640.48544064179"/>
    <n v="3775"/>
    <n v="8577"/>
    <n v="2101"/>
    <n v="1875"/>
    <n v="7910"/>
    <n v="3326"/>
    <n v="1964"/>
    <n v="1739"/>
    <n v="1696"/>
    <n v="8604"/>
    <n v="247272786.785"/>
    <n v="529"/>
    <n v="1117"/>
    <n v="487"/>
    <n v="124"/>
    <m/>
    <m/>
    <n v="57"/>
    <n v="14"/>
    <m/>
    <m/>
    <m/>
    <m/>
    <m/>
    <m/>
    <m/>
    <m/>
    <m/>
    <m/>
    <m/>
    <m/>
    <m/>
    <m/>
    <m/>
    <m/>
    <m/>
  </r>
  <r>
    <x v="0"/>
    <n v="26"/>
    <s v="SON"/>
    <x v="25"/>
    <s v="2018-2019"/>
    <x v="8"/>
    <n v="14826"/>
    <n v="5940"/>
    <n v="8886"/>
    <n v="47160"/>
    <n v="269"/>
    <n v="47"/>
    <n v="51"/>
    <n v="12472"/>
    <n v="160641.37028213684"/>
    <n v="6161"/>
    <n v="15277"/>
    <n v="2926"/>
    <n v="4038"/>
    <n v="13713"/>
    <n v="6199"/>
    <n v="2606"/>
    <n v="2463"/>
    <n v="1715"/>
    <n v="14826"/>
    <n v="226945796.19499999"/>
    <n v="662"/>
    <n v="857"/>
    <n v="5794"/>
    <n v="494"/>
    <m/>
    <m/>
    <n v="5"/>
    <n v="0"/>
    <m/>
    <m/>
    <m/>
    <m/>
    <m/>
    <m/>
    <m/>
    <m/>
    <m/>
    <m/>
    <m/>
    <m/>
    <m/>
    <m/>
    <m/>
    <m/>
    <m/>
  </r>
  <r>
    <x v="0"/>
    <n v="27"/>
    <s v="TAB"/>
    <x v="26"/>
    <s v="2018-2019"/>
    <x v="8"/>
    <n v="5608"/>
    <n v="2062"/>
    <n v="3546"/>
    <n v="41273"/>
    <n v="88"/>
    <n v="21"/>
    <n v="22"/>
    <n v="4932"/>
    <n v="133002.08940500516"/>
    <n v="2062"/>
    <n v="5685"/>
    <n v="1527"/>
    <n v="644"/>
    <n v="5316"/>
    <n v="2280"/>
    <n v="1398"/>
    <n v="1303"/>
    <n v="1195"/>
    <n v="5608"/>
    <n v="112835125.86"/>
    <n v="294"/>
    <n v="484"/>
    <n v="430"/>
    <n v="27"/>
    <m/>
    <m/>
    <n v="132"/>
    <n v="71"/>
    <m/>
    <m/>
    <m/>
    <m/>
    <m/>
    <m/>
    <m/>
    <m/>
    <m/>
    <m/>
    <m/>
    <m/>
    <m/>
    <m/>
    <m/>
    <m/>
    <m/>
  </r>
  <r>
    <x v="0"/>
    <n v="28"/>
    <s v="TAMPS"/>
    <x v="27"/>
    <s v="2018-2019"/>
    <x v="8"/>
    <n v="8533"/>
    <n v="3183"/>
    <n v="5350"/>
    <n v="51248"/>
    <n v="157"/>
    <n v="30"/>
    <n v="37"/>
    <n v="7449"/>
    <n v="187732.87996738573"/>
    <n v="3548"/>
    <n v="8707"/>
    <n v="2052"/>
    <n v="1820"/>
    <n v="8137"/>
    <n v="3517"/>
    <n v="1856"/>
    <n v="1898"/>
    <n v="1630"/>
    <n v="8533"/>
    <n v="175108866.91499999"/>
    <n v="388"/>
    <n v="1077"/>
    <n v="10400"/>
    <n v="171"/>
    <m/>
    <m/>
    <n v="160"/>
    <n v="131"/>
    <n v="104"/>
    <m/>
    <m/>
    <m/>
    <m/>
    <m/>
    <m/>
    <m/>
    <m/>
    <m/>
    <m/>
    <m/>
    <m/>
    <m/>
    <m/>
    <m/>
    <m/>
  </r>
  <r>
    <x v="0"/>
    <n v="29"/>
    <s v="TLAX"/>
    <x v="28"/>
    <s v="2018-2019"/>
    <x v="8"/>
    <n v="3232"/>
    <n v="1170"/>
    <n v="2062"/>
    <n v="23003"/>
    <n v="49"/>
    <n v="18"/>
    <n v="15"/>
    <n v="2871"/>
    <n v="74315.320716950271"/>
    <n v="1389"/>
    <n v="3243"/>
    <n v="709"/>
    <n v="387"/>
    <n v="2964"/>
    <n v="1143"/>
    <n v="594"/>
    <n v="562"/>
    <n v="546"/>
    <n v="3232"/>
    <n v="42775667.829999998"/>
    <n v="182"/>
    <n v="455"/>
    <n v="2082"/>
    <n v="119"/>
    <m/>
    <m/>
    <n v="26"/>
    <n v="23"/>
    <m/>
    <m/>
    <m/>
    <m/>
    <m/>
    <m/>
    <m/>
    <m/>
    <m/>
    <m/>
    <m/>
    <m/>
    <m/>
    <m/>
    <m/>
    <m/>
    <m/>
  </r>
  <r>
    <x v="0"/>
    <n v="30"/>
    <s v="VER"/>
    <x v="29"/>
    <s v="2018-2019"/>
    <x v="8"/>
    <n v="8858"/>
    <n v="3279"/>
    <n v="5579"/>
    <n v="131256"/>
    <n v="174"/>
    <n v="42"/>
    <n v="77"/>
    <n v="7747"/>
    <n v="432896.89882477239"/>
    <n v="4334"/>
    <n v="9115"/>
    <n v="2633"/>
    <n v="1053"/>
    <n v="8678"/>
    <n v="3736"/>
    <n v="2472"/>
    <n v="2218"/>
    <n v="1979"/>
    <n v="8858"/>
    <n v="234497481.155"/>
    <n v="531"/>
    <n v="1543"/>
    <n v="7078"/>
    <n v="132"/>
    <m/>
    <m/>
    <n v="907"/>
    <n v="768"/>
    <n v="720"/>
    <m/>
    <m/>
    <m/>
    <m/>
    <m/>
    <m/>
    <m/>
    <m/>
    <m/>
    <m/>
    <m/>
    <m/>
    <m/>
    <m/>
    <m/>
    <m/>
  </r>
  <r>
    <x v="0"/>
    <n v="31"/>
    <s v="YUC"/>
    <x v="30"/>
    <s v="2018-2019"/>
    <x v="8"/>
    <n v="5303"/>
    <n v="1915"/>
    <n v="3388"/>
    <n v="35849"/>
    <n v="69"/>
    <n v="9"/>
    <n v="20"/>
    <n v="3944"/>
    <n v="110271.51218978132"/>
    <n v="2492"/>
    <n v="5258"/>
    <n v="1162"/>
    <n v="1197"/>
    <n v="4990"/>
    <n v="1913"/>
    <n v="1030"/>
    <n v="1031"/>
    <n v="820"/>
    <n v="5303"/>
    <n v="109480043.905"/>
    <n v="277"/>
    <n v="484"/>
    <n v="3327"/>
    <n v="525"/>
    <m/>
    <m/>
    <n v="445"/>
    <n v="433"/>
    <m/>
    <m/>
    <m/>
    <m/>
    <m/>
    <m/>
    <m/>
    <m/>
    <m/>
    <m/>
    <m/>
    <m/>
    <m/>
    <m/>
    <m/>
    <m/>
    <m/>
  </r>
  <r>
    <x v="0"/>
    <n v="32"/>
    <s v="ZAC"/>
    <x v="31"/>
    <s v="2018-2019"/>
    <x v="8"/>
    <n v="1538"/>
    <n v="619"/>
    <n v="919"/>
    <n v="26709"/>
    <n v="60"/>
    <n v="18"/>
    <n v="7"/>
    <n v="1226"/>
    <n v="89190.403622109137"/>
    <n v="671"/>
    <n v="1552"/>
    <n v="311"/>
    <n v="503"/>
    <n v="1377"/>
    <n v="779"/>
    <n v="262"/>
    <n v="260"/>
    <n v="259"/>
    <n v="1538"/>
    <n v="41952964.865000002"/>
    <n v="85"/>
    <n v="197"/>
    <n v="2252"/>
    <n v="218"/>
    <m/>
    <m/>
    <n v="78"/>
    <n v="78"/>
    <m/>
    <m/>
    <m/>
    <m/>
    <m/>
    <m/>
    <m/>
    <m/>
    <m/>
    <m/>
    <m/>
    <m/>
    <m/>
    <m/>
    <m/>
    <m/>
    <m/>
  </r>
  <r>
    <x v="2"/>
    <n v="33"/>
    <s v="OTRO"/>
    <x v="32"/>
    <s v="2018-2019"/>
    <x v="8"/>
    <m/>
    <m/>
    <m/>
    <m/>
    <m/>
    <m/>
    <m/>
    <m/>
    <m/>
    <m/>
    <m/>
    <m/>
    <m/>
    <m/>
    <m/>
    <m/>
    <m/>
    <m/>
    <m/>
    <m/>
    <m/>
    <m/>
    <m/>
    <m/>
    <m/>
    <m/>
    <n v="707"/>
    <n v="664"/>
    <m/>
    <m/>
    <m/>
    <m/>
    <m/>
    <m/>
    <m/>
    <m/>
    <m/>
    <m/>
    <m/>
    <m/>
    <m/>
    <m/>
    <m/>
    <m/>
    <m/>
  </r>
  <r>
    <x v="1"/>
    <n v="0"/>
    <s v="ON"/>
    <x v="33"/>
    <s v="2018-2019"/>
    <x v="8"/>
    <m/>
    <m/>
    <m/>
    <m/>
    <m/>
    <m/>
    <m/>
    <m/>
    <m/>
    <m/>
    <m/>
    <m/>
    <m/>
    <m/>
    <m/>
    <m/>
    <m/>
    <m/>
    <m/>
    <m/>
    <m/>
    <m/>
    <n v="1188"/>
    <m/>
    <m/>
    <m/>
    <n v="9842"/>
    <n v="9103"/>
    <m/>
    <n v="367837.29021000001"/>
    <n v="1578480"/>
    <n v="1578480"/>
    <n v="1583166"/>
    <n v="1528166.3060000001"/>
    <n v="1528166.3060000001"/>
    <n v="1574833.44"/>
    <n v="1579519.281"/>
    <n v="3647.0250000000001"/>
    <n v="3647.0250000000001"/>
    <n v="50314.159"/>
    <n v="1578480.4650000001"/>
    <n v="50568.584999999999"/>
    <n v="55000"/>
    <n v="1578480.4650000001"/>
    <n v="1583166.306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7" cacheId="2"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compact="0" compactData="0" multipleFieldFilters="0" rowHeaderCaption="Entidad / sostenimiento" colHeaderCaption="Año">
  <location ref="A3:C38" firstHeaderRow="1" firstDataRow="1" firstDataCol="2" rowPageCount="1" colPageCount="1"/>
  <pivotFields count="76">
    <pivotField axis="axisRow"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h="1" x="32"/>
        <item h="1" x="3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compact="0" outline="0" showAll="0">
      <items count="12">
        <item x="2"/>
        <item x="3"/>
        <item x="4"/>
        <item x="5"/>
        <item x="6"/>
        <item x="7"/>
        <item x="8"/>
        <item m="1" x="9"/>
        <item m="1" x="10"/>
        <item x="1"/>
        <item x="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2">
    <field x="0"/>
    <field x="3"/>
  </rowFields>
  <rowItems count="35">
    <i>
      <x/>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t="default">
      <x/>
    </i>
    <i>
      <x v="1"/>
      <x v="6"/>
    </i>
    <i r="1">
      <x v="19"/>
    </i>
    <i t="default">
      <x v="1"/>
    </i>
    <i t="grand">
      <x/>
    </i>
  </rowItems>
  <colItems count="1">
    <i/>
  </colItems>
  <pageFields count="1">
    <pageField fld="5" item="9" hier="-1"/>
  </pageFields>
  <dataFields count="1">
    <dataField name="Suma de Abandonantres" fld="75" baseField="0" baseItem="0" numFmtId="3"/>
  </dataFields>
  <formats count="22">
    <format dxfId="1632">
      <pivotArea type="all" dataOnly="0" outline="0" fieldPosition="0"/>
    </format>
    <format dxfId="1631">
      <pivotArea outline="0" collapsedLevelsAreSubtotals="1" fieldPosition="0"/>
    </format>
    <format dxfId="1630">
      <pivotArea type="origin" dataOnly="0" labelOnly="1" outline="0" fieldPosition="0"/>
    </format>
    <format dxfId="1629">
      <pivotArea field="5" type="button" dataOnly="0" labelOnly="1" outline="0" axis="axisPage" fieldPosition="0"/>
    </format>
    <format dxfId="1628">
      <pivotArea type="topRight" dataOnly="0" labelOnly="1" outline="0" fieldPosition="0"/>
    </format>
    <format dxfId="1627">
      <pivotArea field="3" type="button" dataOnly="0" labelOnly="1" outline="0" axis="axisRow" fieldPosition="1"/>
    </format>
    <format dxfId="1626">
      <pivotArea dataOnly="0" labelOnly="1" grandRow="1" outline="0" fieldPosition="0"/>
    </format>
    <format dxfId="1625">
      <pivotArea type="all" dataOnly="0" outline="0" fieldPosition="0"/>
    </format>
    <format dxfId="1624">
      <pivotArea outline="0" collapsedLevelsAreSubtotals="1" fieldPosition="0"/>
    </format>
    <format dxfId="1623">
      <pivotArea type="origin" dataOnly="0" labelOnly="1" outline="0" fieldPosition="0"/>
    </format>
    <format dxfId="1622">
      <pivotArea field="5" type="button" dataOnly="0" labelOnly="1" outline="0" axis="axisPage" fieldPosition="0"/>
    </format>
    <format dxfId="1621">
      <pivotArea type="topRight" dataOnly="0" labelOnly="1" outline="0" fieldPosition="0"/>
    </format>
    <format dxfId="1620">
      <pivotArea field="3" type="button" dataOnly="0" labelOnly="1" outline="0" axis="axisRow" fieldPosition="1"/>
    </format>
    <format dxfId="1619">
      <pivotArea dataOnly="0" labelOnly="1" grandRow="1" outline="0" fieldPosition="0"/>
    </format>
    <format dxfId="1618">
      <pivotArea type="all" dataOnly="0" outline="0" fieldPosition="0"/>
    </format>
    <format dxfId="1617">
      <pivotArea outline="0" collapsedLevelsAreSubtotals="1" fieldPosition="0"/>
    </format>
    <format dxfId="1616">
      <pivotArea type="origin" dataOnly="0" labelOnly="1" outline="0" fieldPosition="0"/>
    </format>
    <format dxfId="1615">
      <pivotArea field="5" type="button" dataOnly="0" labelOnly="1" outline="0" axis="axisPage" fieldPosition="0"/>
    </format>
    <format dxfId="1614">
      <pivotArea type="topRight" dataOnly="0" labelOnly="1" outline="0" fieldPosition="0"/>
    </format>
    <format dxfId="1613">
      <pivotArea field="0" type="button" dataOnly="0" labelOnly="1" outline="0" axis="axisRow" fieldPosition="0"/>
    </format>
    <format dxfId="1612">
      <pivotArea dataOnly="0" labelOnly="1" grandRow="1" outline="0" fieldPosition="0"/>
    </format>
    <format dxfId="1611">
      <pivotArea type="origin" dataOnly="0" labelOnly="1" outline="0" fieldPosition="0"/>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ACI" fld="56" subtotal="average" baseField="0" baseItem="0" numFmtId="164"/>
  </dataFields>
  <formats count="35">
    <format dxfId="1251">
      <pivotArea type="all" dataOnly="0" outline="0" fieldPosition="0"/>
    </format>
    <format dxfId="1250">
      <pivotArea outline="0" collapsedLevelsAreSubtotals="1" fieldPosition="0"/>
    </format>
    <format dxfId="1249">
      <pivotArea type="origin" dataOnly="0" labelOnly="1" outline="0" fieldPosition="0"/>
    </format>
    <format dxfId="1248">
      <pivotArea field="5" type="button" dataOnly="0" labelOnly="1" outline="0" axis="axisCol" fieldPosition="0"/>
    </format>
    <format dxfId="1247">
      <pivotArea type="topRight" dataOnly="0" labelOnly="1" outline="0" fieldPosition="0"/>
    </format>
    <format dxfId="1246">
      <pivotArea field="3" type="button" dataOnly="0" labelOnly="1" outline="0" axis="axisRow" fieldPosition="1"/>
    </format>
    <format dxfId="1245">
      <pivotArea dataOnly="0" labelOnly="1" fieldPosition="0">
        <references count="1">
          <reference field="3" count="0"/>
        </references>
      </pivotArea>
    </format>
    <format dxfId="1244">
      <pivotArea dataOnly="0" labelOnly="1" grandRow="1" outline="0" fieldPosition="0"/>
    </format>
    <format dxfId="1243">
      <pivotArea dataOnly="0" labelOnly="1" fieldPosition="0">
        <references count="1">
          <reference field="5" count="0"/>
        </references>
      </pivotArea>
    </format>
    <format dxfId="1242">
      <pivotArea type="all" dataOnly="0" outline="0" fieldPosition="0"/>
    </format>
    <format dxfId="1241">
      <pivotArea outline="0" collapsedLevelsAreSubtotals="1" fieldPosition="0"/>
    </format>
    <format dxfId="1240">
      <pivotArea type="origin" dataOnly="0" labelOnly="1" outline="0" fieldPosition="0"/>
    </format>
    <format dxfId="1239">
      <pivotArea field="5" type="button" dataOnly="0" labelOnly="1" outline="0" axis="axisCol" fieldPosition="0"/>
    </format>
    <format dxfId="1238">
      <pivotArea type="topRight" dataOnly="0" labelOnly="1" outline="0" fieldPosition="0"/>
    </format>
    <format dxfId="1237">
      <pivotArea field="3" type="button" dataOnly="0" labelOnly="1" outline="0" axis="axisRow" fieldPosition="1"/>
    </format>
    <format dxfId="1236">
      <pivotArea dataOnly="0" labelOnly="1" fieldPosition="0">
        <references count="1">
          <reference field="3" count="0"/>
        </references>
      </pivotArea>
    </format>
    <format dxfId="1235">
      <pivotArea dataOnly="0" labelOnly="1" grandRow="1" outline="0" fieldPosition="0"/>
    </format>
    <format dxfId="1234">
      <pivotArea dataOnly="0" labelOnly="1" fieldPosition="0">
        <references count="1">
          <reference field="5" count="0"/>
        </references>
      </pivotArea>
    </format>
    <format dxfId="1233">
      <pivotArea type="all" dataOnly="0" outline="0" fieldPosition="0"/>
    </format>
    <format dxfId="1232">
      <pivotArea outline="0" collapsedLevelsAreSubtotals="1" fieldPosition="0"/>
    </format>
    <format dxfId="1231">
      <pivotArea type="origin" dataOnly="0" labelOnly="1" outline="0" fieldPosition="0"/>
    </format>
    <format dxfId="1230">
      <pivotArea field="5" type="button" dataOnly="0" labelOnly="1" outline="0" axis="axisCol" fieldPosition="0"/>
    </format>
    <format dxfId="1229">
      <pivotArea type="topRight" dataOnly="0" labelOnly="1" outline="0" fieldPosition="0"/>
    </format>
    <format dxfId="1228">
      <pivotArea field="0" type="button" dataOnly="0" labelOnly="1" outline="0" axis="axisRow" fieldPosition="0"/>
    </format>
    <format dxfId="1227">
      <pivotArea dataOnly="0" labelOnly="1" fieldPosition="0">
        <references count="1">
          <reference field="0" count="0"/>
        </references>
      </pivotArea>
    </format>
    <format dxfId="1226">
      <pivotArea dataOnly="0" labelOnly="1" grandRow="1" outline="0" fieldPosition="0"/>
    </format>
    <format dxfId="1225">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224">
      <pivotArea dataOnly="0" labelOnly="1" fieldPosition="0">
        <references count="2">
          <reference field="0" count="1" selected="0">
            <x v="1"/>
          </reference>
          <reference field="3" count="2">
            <x v="6"/>
            <x v="19"/>
          </reference>
        </references>
      </pivotArea>
    </format>
    <format dxfId="1223">
      <pivotArea dataOnly="0" labelOnly="1" fieldPosition="0">
        <references count="1">
          <reference field="5" count="0"/>
        </references>
      </pivotArea>
    </format>
    <format dxfId="1222">
      <pivotArea type="origin" dataOnly="0" labelOnly="1" outline="0" fieldPosition="0"/>
    </format>
    <format dxfId="1221">
      <pivotArea collapsedLevelsAreSubtotals="1" fieldPosition="0">
        <references count="1">
          <reference field="0" count="1">
            <x v="1"/>
          </reference>
        </references>
      </pivotArea>
    </format>
    <format dxfId="1220">
      <pivotArea collapsedLevelsAreSubtotals="1" fieldPosition="0">
        <references count="1">
          <reference field="0" count="1">
            <x v="1"/>
          </reference>
        </references>
      </pivotArea>
    </format>
    <format dxfId="1219">
      <pivotArea collapsedLevelsAreSubtotals="1" fieldPosition="0">
        <references count="1">
          <reference field="0" count="1">
            <x v="1"/>
          </reference>
        </references>
      </pivotArea>
    </format>
    <format dxfId="1218">
      <pivotArea outline="0" fieldPosition="0">
        <references count="1">
          <reference field="4294967294" count="1">
            <x v="0"/>
          </reference>
        </references>
      </pivotArea>
    </format>
    <format dxfId="1217">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AE" fld="51" subtotal="average" baseField="3" baseItem="0" numFmtId="164"/>
  </dataFields>
  <formats count="34">
    <format dxfId="1212">
      <pivotArea type="all" dataOnly="0" outline="0" fieldPosition="0"/>
    </format>
    <format dxfId="1211">
      <pivotArea outline="0" collapsedLevelsAreSubtotals="1" fieldPosition="0"/>
    </format>
    <format dxfId="1210">
      <pivotArea type="origin" dataOnly="0" labelOnly="1" outline="0" fieldPosition="0"/>
    </format>
    <format dxfId="1209">
      <pivotArea field="5" type="button" dataOnly="0" labelOnly="1" outline="0" axis="axisCol" fieldPosition="0"/>
    </format>
    <format dxfId="1208">
      <pivotArea type="topRight" dataOnly="0" labelOnly="1" outline="0" fieldPosition="0"/>
    </format>
    <format dxfId="1207">
      <pivotArea field="3" type="button" dataOnly="0" labelOnly="1" outline="0" axis="axisRow" fieldPosition="1"/>
    </format>
    <format dxfId="1206">
      <pivotArea dataOnly="0" labelOnly="1" fieldPosition="0">
        <references count="1">
          <reference field="3" count="0"/>
        </references>
      </pivotArea>
    </format>
    <format dxfId="1205">
      <pivotArea dataOnly="0" labelOnly="1" grandRow="1" outline="0" fieldPosition="0"/>
    </format>
    <format dxfId="1204">
      <pivotArea dataOnly="0" labelOnly="1" fieldPosition="0">
        <references count="1">
          <reference field="5" count="0"/>
        </references>
      </pivotArea>
    </format>
    <format dxfId="1203">
      <pivotArea type="all" dataOnly="0" outline="0" fieldPosition="0"/>
    </format>
    <format dxfId="1202">
      <pivotArea outline="0" collapsedLevelsAreSubtotals="1" fieldPosition="0"/>
    </format>
    <format dxfId="1201">
      <pivotArea type="origin" dataOnly="0" labelOnly="1" outline="0" fieldPosition="0"/>
    </format>
    <format dxfId="1200">
      <pivotArea field="5" type="button" dataOnly="0" labelOnly="1" outline="0" axis="axisCol" fieldPosition="0"/>
    </format>
    <format dxfId="1199">
      <pivotArea type="topRight" dataOnly="0" labelOnly="1" outline="0" fieldPosition="0"/>
    </format>
    <format dxfId="1198">
      <pivotArea field="3" type="button" dataOnly="0" labelOnly="1" outline="0" axis="axisRow" fieldPosition="1"/>
    </format>
    <format dxfId="1197">
      <pivotArea dataOnly="0" labelOnly="1" fieldPosition="0">
        <references count="1">
          <reference field="3" count="0"/>
        </references>
      </pivotArea>
    </format>
    <format dxfId="1196">
      <pivotArea dataOnly="0" labelOnly="1" grandRow="1" outline="0" fieldPosition="0"/>
    </format>
    <format dxfId="1195">
      <pivotArea dataOnly="0" labelOnly="1" fieldPosition="0">
        <references count="1">
          <reference field="5" count="0"/>
        </references>
      </pivotArea>
    </format>
    <format dxfId="1194">
      <pivotArea type="all" dataOnly="0" outline="0" fieldPosition="0"/>
    </format>
    <format dxfId="1193">
      <pivotArea outline="0" collapsedLevelsAreSubtotals="1" fieldPosition="0"/>
    </format>
    <format dxfId="1192">
      <pivotArea type="origin" dataOnly="0" labelOnly="1" outline="0" fieldPosition="0"/>
    </format>
    <format dxfId="1191">
      <pivotArea field="5" type="button" dataOnly="0" labelOnly="1" outline="0" axis="axisCol" fieldPosition="0"/>
    </format>
    <format dxfId="1190">
      <pivotArea type="topRight" dataOnly="0" labelOnly="1" outline="0" fieldPosition="0"/>
    </format>
    <format dxfId="1189">
      <pivotArea field="0" type="button" dataOnly="0" labelOnly="1" outline="0" axis="axisRow" fieldPosition="0"/>
    </format>
    <format dxfId="1188">
      <pivotArea dataOnly="0" labelOnly="1" fieldPosition="0">
        <references count="1">
          <reference field="0" count="0"/>
        </references>
      </pivotArea>
    </format>
    <format dxfId="1187">
      <pivotArea dataOnly="0" labelOnly="1" grandRow="1" outline="0" fieldPosition="0"/>
    </format>
    <format dxfId="1186">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185">
      <pivotArea dataOnly="0" labelOnly="1" fieldPosition="0">
        <references count="2">
          <reference field="0" count="1" selected="0">
            <x v="1"/>
          </reference>
          <reference field="3" count="2">
            <x v="6"/>
            <x v="19"/>
          </reference>
        </references>
      </pivotArea>
    </format>
    <format dxfId="1184">
      <pivotArea dataOnly="0" labelOnly="1" fieldPosition="0">
        <references count="1">
          <reference field="5" count="0"/>
        </references>
      </pivotArea>
    </format>
    <format dxfId="1183">
      <pivotArea type="origin" dataOnly="0" labelOnly="1" outline="0" fieldPosition="0"/>
    </format>
    <format dxfId="1182">
      <pivotArea collapsedLevelsAreSubtotals="1" fieldPosition="0">
        <references count="1">
          <reference field="0" count="1">
            <x v="1"/>
          </reference>
        </references>
      </pivotArea>
    </format>
    <format dxfId="1181">
      <pivotArea collapsedLevelsAreSubtotals="1" fieldPosition="0">
        <references count="1">
          <reference field="0" count="1">
            <x v="1"/>
          </reference>
        </references>
      </pivotArea>
    </format>
    <format dxfId="1180">
      <pivotArea collapsedLevelsAreSubtotals="1" fieldPosition="0">
        <references count="1">
          <reference field="0" count="1">
            <x v="1"/>
          </reference>
        </references>
      </pivotArea>
    </format>
    <format dxfId="1179">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2" firstHeaderRow="1" firstDataRow="2" firstDataCol="1"/>
  <pivotFields count="77">
    <pivotField axis="axisRow" showAll="0">
      <items count="4">
        <item x="0"/>
        <item x="1"/>
        <item h="1" sd="0"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n="2018*" x="8"/>
        <item n="2019**" x="9"/>
        <item n="2020***" x="10"/>
        <item n="2021****" x="1"/>
        <item n="2022*****"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6">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t="grand">
      <x/>
    </i>
  </rowItems>
  <colFields count="1">
    <field x="5"/>
  </colFields>
  <colItems count="5">
    <i>
      <x v="6"/>
    </i>
    <i>
      <x v="7"/>
    </i>
    <i>
      <x v="8"/>
    </i>
    <i>
      <x v="9"/>
    </i>
    <i>
      <x v="10"/>
    </i>
  </colItems>
  <dataFields count="1">
    <dataField name="Promedio de REP" fld="57" subtotal="average" baseField="0" baseItem="0" numFmtId="3"/>
  </dataFields>
  <formats count="52">
    <format dxfId="1174">
      <pivotArea type="all" dataOnly="0" outline="0" fieldPosition="0"/>
    </format>
    <format dxfId="1173">
      <pivotArea outline="0" collapsedLevelsAreSubtotals="1" fieldPosition="0"/>
    </format>
    <format dxfId="1172">
      <pivotArea type="origin" dataOnly="0" labelOnly="1" outline="0" fieldPosition="0"/>
    </format>
    <format dxfId="1171">
      <pivotArea field="5" type="button" dataOnly="0" labelOnly="1" outline="0" axis="axisCol" fieldPosition="0"/>
    </format>
    <format dxfId="1170">
      <pivotArea type="topRight" dataOnly="0" labelOnly="1" outline="0" fieldPosition="0"/>
    </format>
    <format dxfId="1169">
      <pivotArea field="3" type="button" dataOnly="0" labelOnly="1" outline="0" axis="axisRow" fieldPosition="1"/>
    </format>
    <format dxfId="1168">
      <pivotArea dataOnly="0" labelOnly="1" fieldPosition="0">
        <references count="1">
          <reference field="3" count="0"/>
        </references>
      </pivotArea>
    </format>
    <format dxfId="1167">
      <pivotArea dataOnly="0" labelOnly="1" grandRow="1" outline="0" fieldPosition="0"/>
    </format>
    <format dxfId="1166">
      <pivotArea dataOnly="0" labelOnly="1" fieldPosition="0">
        <references count="1">
          <reference field="5" count="0"/>
        </references>
      </pivotArea>
    </format>
    <format dxfId="1165">
      <pivotArea type="all" dataOnly="0" outline="0" fieldPosition="0"/>
    </format>
    <format dxfId="1164">
      <pivotArea outline="0" collapsedLevelsAreSubtotals="1" fieldPosition="0"/>
    </format>
    <format dxfId="1163">
      <pivotArea type="origin" dataOnly="0" labelOnly="1" outline="0" fieldPosition="0"/>
    </format>
    <format dxfId="1162">
      <pivotArea field="5" type="button" dataOnly="0" labelOnly="1" outline="0" axis="axisCol" fieldPosition="0"/>
    </format>
    <format dxfId="1161">
      <pivotArea type="topRight" dataOnly="0" labelOnly="1" outline="0" fieldPosition="0"/>
    </format>
    <format dxfId="1160">
      <pivotArea field="3" type="button" dataOnly="0" labelOnly="1" outline="0" axis="axisRow" fieldPosition="1"/>
    </format>
    <format dxfId="1159">
      <pivotArea dataOnly="0" labelOnly="1" fieldPosition="0">
        <references count="1">
          <reference field="3" count="0"/>
        </references>
      </pivotArea>
    </format>
    <format dxfId="1158">
      <pivotArea dataOnly="0" labelOnly="1" grandRow="1" outline="0" fieldPosition="0"/>
    </format>
    <format dxfId="1157">
      <pivotArea dataOnly="0" labelOnly="1" fieldPosition="0">
        <references count="1">
          <reference field="5" count="0"/>
        </references>
      </pivotArea>
    </format>
    <format dxfId="1156">
      <pivotArea type="all" dataOnly="0" outline="0" fieldPosition="0"/>
    </format>
    <format dxfId="1155">
      <pivotArea outline="0" collapsedLevelsAreSubtotals="1" fieldPosition="0"/>
    </format>
    <format dxfId="1154">
      <pivotArea type="origin" dataOnly="0" labelOnly="1" outline="0" fieldPosition="0"/>
    </format>
    <format dxfId="1153">
      <pivotArea field="5" type="button" dataOnly="0" labelOnly="1" outline="0" axis="axisCol" fieldPosition="0"/>
    </format>
    <format dxfId="1152">
      <pivotArea type="topRight" dataOnly="0" labelOnly="1" outline="0" fieldPosition="0"/>
    </format>
    <format dxfId="1151">
      <pivotArea field="0" type="button" dataOnly="0" labelOnly="1" outline="0" axis="axisRow" fieldPosition="0"/>
    </format>
    <format dxfId="1150">
      <pivotArea dataOnly="0" labelOnly="1" fieldPosition="0">
        <references count="1">
          <reference field="0" count="0"/>
        </references>
      </pivotArea>
    </format>
    <format dxfId="1149">
      <pivotArea dataOnly="0" labelOnly="1" grandRow="1" outline="0" fieldPosition="0"/>
    </format>
    <format dxfId="114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147">
      <pivotArea dataOnly="0" labelOnly="1" fieldPosition="0">
        <references count="2">
          <reference field="0" count="1" selected="0">
            <x v="1"/>
          </reference>
          <reference field="3" count="2">
            <x v="6"/>
            <x v="19"/>
          </reference>
        </references>
      </pivotArea>
    </format>
    <format dxfId="1146">
      <pivotArea dataOnly="0" labelOnly="1" fieldPosition="0">
        <references count="1">
          <reference field="5" count="0"/>
        </references>
      </pivotArea>
    </format>
    <format dxfId="1145">
      <pivotArea type="origin" dataOnly="0" labelOnly="1" outline="0" fieldPosition="0"/>
    </format>
    <format dxfId="1144">
      <pivotArea collapsedLevelsAreSubtotals="1" fieldPosition="0">
        <references count="1">
          <reference field="0" count="1">
            <x v="1"/>
          </reference>
        </references>
      </pivotArea>
    </format>
    <format dxfId="1143">
      <pivotArea collapsedLevelsAreSubtotals="1" fieldPosition="0">
        <references count="1">
          <reference field="0" count="1">
            <x v="1"/>
          </reference>
        </references>
      </pivotArea>
    </format>
    <format dxfId="1142">
      <pivotArea collapsedLevelsAreSubtotals="1" fieldPosition="0">
        <references count="1">
          <reference field="0" count="1">
            <x v="1"/>
          </reference>
        </references>
      </pivotArea>
    </format>
    <format dxfId="1141">
      <pivotArea collapsedLevelsAreSubtotals="1" fieldPosition="0">
        <references count="1">
          <reference field="0" count="1">
            <x v="0"/>
          </reference>
        </references>
      </pivotArea>
    </format>
    <format dxfId="1140">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139">
      <pivotArea collapsedLevelsAreSubtotals="1" fieldPosition="0">
        <references count="1">
          <reference field="0" count="1">
            <x v="1"/>
          </reference>
        </references>
      </pivotArea>
    </format>
    <format dxfId="1138">
      <pivotArea collapsedLevelsAreSubtotals="1" fieldPosition="0">
        <references count="2">
          <reference field="0" count="1" selected="0">
            <x v="1"/>
          </reference>
          <reference field="3" count="2">
            <x v="6"/>
            <x v="19"/>
          </reference>
        </references>
      </pivotArea>
    </format>
    <format dxfId="1137">
      <pivotArea collapsedLevelsAreSubtotals="1" fieldPosition="0">
        <references count="2">
          <reference field="0" count="1" selected="0">
            <x v="0"/>
          </reference>
          <reference field="3" count="1">
            <x v="31"/>
          </reference>
        </references>
      </pivotArea>
    </format>
    <format dxfId="1136">
      <pivotArea collapsedLevelsAreSubtotals="1" fieldPosition="0">
        <references count="1">
          <reference field="0" count="1">
            <x v="1"/>
          </reference>
        </references>
      </pivotArea>
    </format>
    <format dxfId="1135">
      <pivotArea collapsedLevelsAreSubtotals="1" fieldPosition="0">
        <references count="2">
          <reference field="0" count="1" selected="0">
            <x v="1"/>
          </reference>
          <reference field="3" count="3">
            <x v="6"/>
            <x v="19"/>
            <x v="33"/>
          </reference>
        </references>
      </pivotArea>
    </format>
    <format dxfId="1134">
      <pivotArea collapsedLevelsAreSubtotals="1" fieldPosition="0">
        <references count="1">
          <reference field="0" count="1">
            <x v="2"/>
          </reference>
        </references>
      </pivotArea>
    </format>
    <format dxfId="1133">
      <pivotArea collapsedLevelsAreSubtotals="1" fieldPosition="0">
        <references count="2">
          <reference field="0" count="1" selected="0">
            <x v="2"/>
          </reference>
          <reference field="3" count="1">
            <x v="32"/>
          </reference>
        </references>
      </pivotArea>
    </format>
    <format dxfId="1132">
      <pivotArea grandRow="1" outline="0" collapsedLevelsAreSubtotals="1" fieldPosition="0"/>
    </format>
    <format dxfId="1131">
      <pivotArea dataOnly="0" labelOnly="1" fieldPosition="0">
        <references count="1">
          <reference field="0" count="2">
            <x v="1"/>
            <x v="2"/>
          </reference>
        </references>
      </pivotArea>
    </format>
    <format dxfId="1130">
      <pivotArea dataOnly="0" labelOnly="1" grandRow="1" outline="0" fieldPosition="0"/>
    </format>
    <format dxfId="1129">
      <pivotArea dataOnly="0" labelOnly="1" fieldPosition="0">
        <references count="2">
          <reference field="0" count="1" selected="0">
            <x v="0"/>
          </reference>
          <reference field="3" count="1">
            <x v="31"/>
          </reference>
        </references>
      </pivotArea>
    </format>
    <format dxfId="1128">
      <pivotArea dataOnly="0" labelOnly="1" fieldPosition="0">
        <references count="2">
          <reference field="0" count="1" selected="0">
            <x v="1"/>
          </reference>
          <reference field="3" count="3">
            <x v="6"/>
            <x v="19"/>
            <x v="33"/>
          </reference>
        </references>
      </pivotArea>
    </format>
    <format dxfId="1127">
      <pivotArea dataOnly="0" labelOnly="1" fieldPosition="0">
        <references count="2">
          <reference field="0" count="1" selected="0">
            <x v="2"/>
          </reference>
          <reference field="3" count="1">
            <x v="32"/>
          </reference>
        </references>
      </pivotArea>
    </format>
    <format dxfId="1126">
      <pivotArea dataOnly="0" labelOnly="1" fieldPosition="0">
        <references count="1">
          <reference field="5" count="1">
            <x v="6"/>
          </reference>
        </references>
      </pivotArea>
    </format>
    <format dxfId="1125">
      <pivotArea dataOnly="0" labelOnly="1" fieldPosition="0">
        <references count="1">
          <reference field="5" count="1">
            <x v="7"/>
          </reference>
        </references>
      </pivotArea>
    </format>
    <format dxfId="1124">
      <pivotArea dataOnly="0" labelOnly="1" fieldPosition="0">
        <references count="1">
          <reference field="5" count="1">
            <x v="8"/>
          </reference>
        </references>
      </pivotArea>
    </format>
    <format dxfId="1123">
      <pivotArea dataOnly="0" labelOnly="1" fieldPosition="0">
        <references count="1">
          <reference field="5" count="1">
            <x v="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ET" fld="60" subtotal="average" baseField="0" baseItem="0" numFmtId="164"/>
  </dataFields>
  <formats count="34">
    <format dxfId="1118">
      <pivotArea type="all" dataOnly="0" outline="0" fieldPosition="0"/>
    </format>
    <format dxfId="1117">
      <pivotArea outline="0" collapsedLevelsAreSubtotals="1" fieldPosition="0"/>
    </format>
    <format dxfId="1116">
      <pivotArea type="origin" dataOnly="0" labelOnly="1" outline="0" fieldPosition="0"/>
    </format>
    <format dxfId="1115">
      <pivotArea field="5" type="button" dataOnly="0" labelOnly="1" outline="0" axis="axisCol" fieldPosition="0"/>
    </format>
    <format dxfId="1114">
      <pivotArea type="topRight" dataOnly="0" labelOnly="1" outline="0" fieldPosition="0"/>
    </format>
    <format dxfId="1113">
      <pivotArea field="3" type="button" dataOnly="0" labelOnly="1" outline="0" axis="axisRow" fieldPosition="1"/>
    </format>
    <format dxfId="1112">
      <pivotArea dataOnly="0" labelOnly="1" fieldPosition="0">
        <references count="1">
          <reference field="3" count="0"/>
        </references>
      </pivotArea>
    </format>
    <format dxfId="1111">
      <pivotArea dataOnly="0" labelOnly="1" grandRow="1" outline="0" fieldPosition="0"/>
    </format>
    <format dxfId="1110">
      <pivotArea dataOnly="0" labelOnly="1" fieldPosition="0">
        <references count="1">
          <reference field="5" count="0"/>
        </references>
      </pivotArea>
    </format>
    <format dxfId="1109">
      <pivotArea type="all" dataOnly="0" outline="0" fieldPosition="0"/>
    </format>
    <format dxfId="1108">
      <pivotArea outline="0" collapsedLevelsAreSubtotals="1" fieldPosition="0"/>
    </format>
    <format dxfId="1107">
      <pivotArea type="origin" dataOnly="0" labelOnly="1" outline="0" fieldPosition="0"/>
    </format>
    <format dxfId="1106">
      <pivotArea field="5" type="button" dataOnly="0" labelOnly="1" outline="0" axis="axisCol" fieldPosition="0"/>
    </format>
    <format dxfId="1105">
      <pivotArea type="topRight" dataOnly="0" labelOnly="1" outline="0" fieldPosition="0"/>
    </format>
    <format dxfId="1104">
      <pivotArea field="3" type="button" dataOnly="0" labelOnly="1" outline="0" axis="axisRow" fieldPosition="1"/>
    </format>
    <format dxfId="1103">
      <pivotArea dataOnly="0" labelOnly="1" fieldPosition="0">
        <references count="1">
          <reference field="3" count="0"/>
        </references>
      </pivotArea>
    </format>
    <format dxfId="1102">
      <pivotArea dataOnly="0" labelOnly="1" grandRow="1" outline="0" fieldPosition="0"/>
    </format>
    <format dxfId="1101">
      <pivotArea dataOnly="0" labelOnly="1" fieldPosition="0">
        <references count="1">
          <reference field="5" count="0"/>
        </references>
      </pivotArea>
    </format>
    <format dxfId="1100">
      <pivotArea type="all" dataOnly="0" outline="0" fieldPosition="0"/>
    </format>
    <format dxfId="1099">
      <pivotArea outline="0" collapsedLevelsAreSubtotals="1" fieldPosition="0"/>
    </format>
    <format dxfId="1098">
      <pivotArea type="origin" dataOnly="0" labelOnly="1" outline="0" fieldPosition="0"/>
    </format>
    <format dxfId="1097">
      <pivotArea field="5" type="button" dataOnly="0" labelOnly="1" outline="0" axis="axisCol" fieldPosition="0"/>
    </format>
    <format dxfId="1096">
      <pivotArea type="topRight" dataOnly="0" labelOnly="1" outline="0" fieldPosition="0"/>
    </format>
    <format dxfId="1095">
      <pivotArea field="0" type="button" dataOnly="0" labelOnly="1" outline="0" axis="axisRow" fieldPosition="0"/>
    </format>
    <format dxfId="1094">
      <pivotArea dataOnly="0" labelOnly="1" fieldPosition="0">
        <references count="1">
          <reference field="0" count="0"/>
        </references>
      </pivotArea>
    </format>
    <format dxfId="1093">
      <pivotArea dataOnly="0" labelOnly="1" grandRow="1" outline="0" fieldPosition="0"/>
    </format>
    <format dxfId="1092">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091">
      <pivotArea dataOnly="0" labelOnly="1" fieldPosition="0">
        <references count="2">
          <reference field="0" count="1" selected="0">
            <x v="1"/>
          </reference>
          <reference field="3" count="2">
            <x v="6"/>
            <x v="19"/>
          </reference>
        </references>
      </pivotArea>
    </format>
    <format dxfId="1090">
      <pivotArea dataOnly="0" labelOnly="1" fieldPosition="0">
        <references count="1">
          <reference field="5" count="0"/>
        </references>
      </pivotArea>
    </format>
    <format dxfId="1089">
      <pivotArea type="origin" dataOnly="0" labelOnly="1" outline="0" fieldPosition="0"/>
    </format>
    <format dxfId="1088">
      <pivotArea collapsedLevelsAreSubtotals="1" fieldPosition="0">
        <references count="1">
          <reference field="0" count="1">
            <x v="1"/>
          </reference>
        </references>
      </pivotArea>
    </format>
    <format dxfId="1087">
      <pivotArea collapsedLevelsAreSubtotals="1" fieldPosition="0">
        <references count="1">
          <reference field="0" count="1">
            <x v="1"/>
          </reference>
        </references>
      </pivotArea>
    </format>
    <format dxfId="1086">
      <pivotArea collapsedLevelsAreSubtotals="1" fieldPosition="0">
        <references count="1">
          <reference field="0" count="1">
            <x v="1"/>
          </reference>
        </references>
      </pivotArea>
    </format>
    <format dxfId="1085">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9:F58"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x="6"/>
        <item x="7"/>
        <item x="8"/>
        <item x="9"/>
        <item x="10"/>
        <item h="1" x="1"/>
        <item h="1"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4"/>
    </i>
    <i>
      <x v="5"/>
    </i>
    <i>
      <x v="6"/>
    </i>
    <i>
      <x v="7"/>
    </i>
    <i>
      <x v="8"/>
    </i>
  </colItems>
  <dataFields count="1">
    <dataField name="Promedio de TE" fld="58" subtotal="average" baseField="3" baseItem="0" numFmtId="164"/>
  </dataFields>
  <formats count="34">
    <format dxfId="1080">
      <pivotArea type="all" dataOnly="0" outline="0" fieldPosition="0"/>
    </format>
    <format dxfId="1079">
      <pivotArea outline="0" collapsedLevelsAreSubtotals="1" fieldPosition="0"/>
    </format>
    <format dxfId="1078">
      <pivotArea type="origin" dataOnly="0" labelOnly="1" outline="0" fieldPosition="0"/>
    </format>
    <format dxfId="1077">
      <pivotArea field="5" type="button" dataOnly="0" labelOnly="1" outline="0" axis="axisCol" fieldPosition="0"/>
    </format>
    <format dxfId="1076">
      <pivotArea type="topRight" dataOnly="0" labelOnly="1" outline="0" fieldPosition="0"/>
    </format>
    <format dxfId="1075">
      <pivotArea field="3" type="button" dataOnly="0" labelOnly="1" outline="0" axis="axisRow" fieldPosition="1"/>
    </format>
    <format dxfId="1074">
      <pivotArea dataOnly="0" labelOnly="1" fieldPosition="0">
        <references count="1">
          <reference field="3" count="0"/>
        </references>
      </pivotArea>
    </format>
    <format dxfId="1073">
      <pivotArea dataOnly="0" labelOnly="1" grandRow="1" outline="0" fieldPosition="0"/>
    </format>
    <format dxfId="1072">
      <pivotArea dataOnly="0" labelOnly="1" fieldPosition="0">
        <references count="1">
          <reference field="5" count="0"/>
        </references>
      </pivotArea>
    </format>
    <format dxfId="1071">
      <pivotArea type="all" dataOnly="0" outline="0" fieldPosition="0"/>
    </format>
    <format dxfId="1070">
      <pivotArea outline="0" collapsedLevelsAreSubtotals="1" fieldPosition="0"/>
    </format>
    <format dxfId="1069">
      <pivotArea type="origin" dataOnly="0" labelOnly="1" outline="0" fieldPosition="0"/>
    </format>
    <format dxfId="1068">
      <pivotArea field="5" type="button" dataOnly="0" labelOnly="1" outline="0" axis="axisCol" fieldPosition="0"/>
    </format>
    <format dxfId="1067">
      <pivotArea type="topRight" dataOnly="0" labelOnly="1" outline="0" fieldPosition="0"/>
    </format>
    <format dxfId="1066">
      <pivotArea field="3" type="button" dataOnly="0" labelOnly="1" outline="0" axis="axisRow" fieldPosition="1"/>
    </format>
    <format dxfId="1065">
      <pivotArea dataOnly="0" labelOnly="1" fieldPosition="0">
        <references count="1">
          <reference field="3" count="0"/>
        </references>
      </pivotArea>
    </format>
    <format dxfId="1064">
      <pivotArea dataOnly="0" labelOnly="1" grandRow="1" outline="0" fieldPosition="0"/>
    </format>
    <format dxfId="1063">
      <pivotArea dataOnly="0" labelOnly="1" fieldPosition="0">
        <references count="1">
          <reference field="5" count="0"/>
        </references>
      </pivotArea>
    </format>
    <format dxfId="1062">
      <pivotArea type="all" dataOnly="0" outline="0" fieldPosition="0"/>
    </format>
    <format dxfId="1061">
      <pivotArea outline="0" collapsedLevelsAreSubtotals="1" fieldPosition="0"/>
    </format>
    <format dxfId="1060">
      <pivotArea type="origin" dataOnly="0" labelOnly="1" outline="0" fieldPosition="0"/>
    </format>
    <format dxfId="1059">
      <pivotArea field="5" type="button" dataOnly="0" labelOnly="1" outline="0" axis="axisCol" fieldPosition="0"/>
    </format>
    <format dxfId="1058">
      <pivotArea type="topRight" dataOnly="0" labelOnly="1" outline="0" fieldPosition="0"/>
    </format>
    <format dxfId="1057">
      <pivotArea field="0" type="button" dataOnly="0" labelOnly="1" outline="0" axis="axisRow" fieldPosition="0"/>
    </format>
    <format dxfId="1056">
      <pivotArea dataOnly="0" labelOnly="1" fieldPosition="0">
        <references count="1">
          <reference field="0" count="0"/>
        </references>
      </pivotArea>
    </format>
    <format dxfId="1055">
      <pivotArea dataOnly="0" labelOnly="1" grandRow="1" outline="0" fieldPosition="0"/>
    </format>
    <format dxfId="1054">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053">
      <pivotArea dataOnly="0" labelOnly="1" fieldPosition="0">
        <references count="2">
          <reference field="0" count="1" selected="0">
            <x v="1"/>
          </reference>
          <reference field="3" count="2">
            <x v="6"/>
            <x v="19"/>
          </reference>
        </references>
      </pivotArea>
    </format>
    <format dxfId="1052">
      <pivotArea dataOnly="0" labelOnly="1" fieldPosition="0">
        <references count="1">
          <reference field="5" count="0"/>
        </references>
      </pivotArea>
    </format>
    <format dxfId="1051">
      <pivotArea type="origin" dataOnly="0" labelOnly="1" outline="0" fieldPosition="0"/>
    </format>
    <format dxfId="1050">
      <pivotArea collapsedLevelsAreSubtotals="1" fieldPosition="0">
        <references count="1">
          <reference field="0" count="1">
            <x v="1"/>
          </reference>
        </references>
      </pivotArea>
    </format>
    <format dxfId="1049">
      <pivotArea collapsedLevelsAreSubtotals="1" fieldPosition="0">
        <references count="1">
          <reference field="0" count="1">
            <x v="1"/>
          </reference>
        </references>
      </pivotArea>
    </format>
    <format dxfId="1048">
      <pivotArea collapsedLevelsAreSubtotals="1" fieldPosition="0">
        <references count="1">
          <reference field="0" count="1">
            <x v="1"/>
          </reference>
        </references>
      </pivotArea>
    </format>
    <format dxfId="1047">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13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TIT" fld="52" subtotal="average" baseField="3" baseItem="0" numFmtId="164"/>
  </dataFields>
  <formats count="34">
    <format dxfId="1042">
      <pivotArea type="all" dataOnly="0" outline="0" fieldPosition="0"/>
    </format>
    <format dxfId="1041">
      <pivotArea outline="0" collapsedLevelsAreSubtotals="1" fieldPosition="0"/>
    </format>
    <format dxfId="1040">
      <pivotArea type="origin" dataOnly="0" labelOnly="1" outline="0" fieldPosition="0"/>
    </format>
    <format dxfId="1039">
      <pivotArea field="5" type="button" dataOnly="0" labelOnly="1" outline="0" axis="axisCol" fieldPosition="0"/>
    </format>
    <format dxfId="1038">
      <pivotArea type="topRight" dataOnly="0" labelOnly="1" outline="0" fieldPosition="0"/>
    </format>
    <format dxfId="1037">
      <pivotArea field="3" type="button" dataOnly="0" labelOnly="1" outline="0" axis="axisRow" fieldPosition="1"/>
    </format>
    <format dxfId="1036">
      <pivotArea dataOnly="0" labelOnly="1" fieldPosition="0">
        <references count="1">
          <reference field="3" count="0"/>
        </references>
      </pivotArea>
    </format>
    <format dxfId="1035">
      <pivotArea dataOnly="0" labelOnly="1" grandRow="1" outline="0" fieldPosition="0"/>
    </format>
    <format dxfId="1034">
      <pivotArea dataOnly="0" labelOnly="1" fieldPosition="0">
        <references count="1">
          <reference field="5" count="0"/>
        </references>
      </pivotArea>
    </format>
    <format dxfId="1033">
      <pivotArea type="all" dataOnly="0" outline="0" fieldPosition="0"/>
    </format>
    <format dxfId="1032">
      <pivotArea outline="0" collapsedLevelsAreSubtotals="1" fieldPosition="0"/>
    </format>
    <format dxfId="1031">
      <pivotArea type="origin" dataOnly="0" labelOnly="1" outline="0" fieldPosition="0"/>
    </format>
    <format dxfId="1030">
      <pivotArea field="5" type="button" dataOnly="0" labelOnly="1" outline="0" axis="axisCol" fieldPosition="0"/>
    </format>
    <format dxfId="1029">
      <pivotArea type="topRight" dataOnly="0" labelOnly="1" outline="0" fieldPosition="0"/>
    </format>
    <format dxfId="1028">
      <pivotArea field="3" type="button" dataOnly="0" labelOnly="1" outline="0" axis="axisRow" fieldPosition="1"/>
    </format>
    <format dxfId="1027">
      <pivotArea dataOnly="0" labelOnly="1" fieldPosition="0">
        <references count="1">
          <reference field="3" count="0"/>
        </references>
      </pivotArea>
    </format>
    <format dxfId="1026">
      <pivotArea dataOnly="0" labelOnly="1" grandRow="1" outline="0" fieldPosition="0"/>
    </format>
    <format dxfId="1025">
      <pivotArea dataOnly="0" labelOnly="1" fieldPosition="0">
        <references count="1">
          <reference field="5" count="0"/>
        </references>
      </pivotArea>
    </format>
    <format dxfId="1024">
      <pivotArea type="all" dataOnly="0" outline="0" fieldPosition="0"/>
    </format>
    <format dxfId="1023">
      <pivotArea outline="0" collapsedLevelsAreSubtotals="1" fieldPosition="0"/>
    </format>
    <format dxfId="1022">
      <pivotArea type="origin" dataOnly="0" labelOnly="1" outline="0" fieldPosition="0"/>
    </format>
    <format dxfId="1021">
      <pivotArea field="5" type="button" dataOnly="0" labelOnly="1" outline="0" axis="axisCol" fieldPosition="0"/>
    </format>
    <format dxfId="1020">
      <pivotArea type="topRight" dataOnly="0" labelOnly="1" outline="0" fieldPosition="0"/>
    </format>
    <format dxfId="1019">
      <pivotArea field="0" type="button" dataOnly="0" labelOnly="1" outline="0" axis="axisRow" fieldPosition="0"/>
    </format>
    <format dxfId="1018">
      <pivotArea dataOnly="0" labelOnly="1" fieldPosition="0">
        <references count="1">
          <reference field="0" count="0"/>
        </references>
      </pivotArea>
    </format>
    <format dxfId="1017">
      <pivotArea dataOnly="0" labelOnly="1" grandRow="1" outline="0" fieldPosition="0"/>
    </format>
    <format dxfId="1016">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015">
      <pivotArea dataOnly="0" labelOnly="1" fieldPosition="0">
        <references count="2">
          <reference field="0" count="1" selected="0">
            <x v="1"/>
          </reference>
          <reference field="3" count="2">
            <x v="6"/>
            <x v="19"/>
          </reference>
        </references>
      </pivotArea>
    </format>
    <format dxfId="1014">
      <pivotArea dataOnly="0" labelOnly="1" fieldPosition="0">
        <references count="1">
          <reference field="5" count="0"/>
        </references>
      </pivotArea>
    </format>
    <format dxfId="1013">
      <pivotArea type="origin" dataOnly="0" labelOnly="1" outline="0" fieldPosition="0"/>
    </format>
    <format dxfId="1012">
      <pivotArea collapsedLevelsAreSubtotals="1" fieldPosition="0">
        <references count="1">
          <reference field="0" count="1">
            <x v="1"/>
          </reference>
        </references>
      </pivotArea>
    </format>
    <format dxfId="1011">
      <pivotArea collapsedLevelsAreSubtotals="1" fieldPosition="0">
        <references count="1">
          <reference field="0" count="1">
            <x v="1"/>
          </reference>
        </references>
      </pivotArea>
    </format>
    <format dxfId="1010">
      <pivotArea collapsedLevelsAreSubtotals="1" fieldPosition="0">
        <references count="1">
          <reference field="0" count="1">
            <x v="1"/>
          </reference>
        </references>
      </pivotArea>
    </format>
    <format dxfId="1009">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14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COSTO" fld="59" subtotal="average" baseField="3" baseItem="0" numFmtId="3"/>
  </dataFields>
  <formats count="36">
    <format dxfId="1004">
      <pivotArea type="all" dataOnly="0" outline="0" fieldPosition="0"/>
    </format>
    <format dxfId="1003">
      <pivotArea outline="0" collapsedLevelsAreSubtotals="1" fieldPosition="0"/>
    </format>
    <format dxfId="1002">
      <pivotArea type="origin" dataOnly="0" labelOnly="1" outline="0" fieldPosition="0"/>
    </format>
    <format dxfId="1001">
      <pivotArea field="5" type="button" dataOnly="0" labelOnly="1" outline="0" axis="axisCol" fieldPosition="0"/>
    </format>
    <format dxfId="1000">
      <pivotArea type="topRight" dataOnly="0" labelOnly="1" outline="0" fieldPosition="0"/>
    </format>
    <format dxfId="999">
      <pivotArea field="3" type="button" dataOnly="0" labelOnly="1" outline="0" axis="axisRow" fieldPosition="1"/>
    </format>
    <format dxfId="998">
      <pivotArea dataOnly="0" labelOnly="1" fieldPosition="0">
        <references count="1">
          <reference field="3" count="0"/>
        </references>
      </pivotArea>
    </format>
    <format dxfId="997">
      <pivotArea dataOnly="0" labelOnly="1" grandRow="1" outline="0" fieldPosition="0"/>
    </format>
    <format dxfId="996">
      <pivotArea dataOnly="0" labelOnly="1" fieldPosition="0">
        <references count="1">
          <reference field="5" count="0"/>
        </references>
      </pivotArea>
    </format>
    <format dxfId="995">
      <pivotArea type="all" dataOnly="0" outline="0" fieldPosition="0"/>
    </format>
    <format dxfId="994">
      <pivotArea outline="0" collapsedLevelsAreSubtotals="1" fieldPosition="0"/>
    </format>
    <format dxfId="993">
      <pivotArea type="origin" dataOnly="0" labelOnly="1" outline="0" fieldPosition="0"/>
    </format>
    <format dxfId="992">
      <pivotArea field="5" type="button" dataOnly="0" labelOnly="1" outline="0" axis="axisCol" fieldPosition="0"/>
    </format>
    <format dxfId="991">
      <pivotArea type="topRight" dataOnly="0" labelOnly="1" outline="0" fieldPosition="0"/>
    </format>
    <format dxfId="990">
      <pivotArea field="3" type="button" dataOnly="0" labelOnly="1" outline="0" axis="axisRow" fieldPosition="1"/>
    </format>
    <format dxfId="989">
      <pivotArea dataOnly="0" labelOnly="1" fieldPosition="0">
        <references count="1">
          <reference field="3" count="0"/>
        </references>
      </pivotArea>
    </format>
    <format dxfId="988">
      <pivotArea dataOnly="0" labelOnly="1" grandRow="1" outline="0" fieldPosition="0"/>
    </format>
    <format dxfId="987">
      <pivotArea dataOnly="0" labelOnly="1" fieldPosition="0">
        <references count="1">
          <reference field="5" count="0"/>
        </references>
      </pivotArea>
    </format>
    <format dxfId="986">
      <pivotArea type="all" dataOnly="0" outline="0" fieldPosition="0"/>
    </format>
    <format dxfId="985">
      <pivotArea outline="0" collapsedLevelsAreSubtotals="1" fieldPosition="0"/>
    </format>
    <format dxfId="984">
      <pivotArea type="origin" dataOnly="0" labelOnly="1" outline="0" fieldPosition="0"/>
    </format>
    <format dxfId="983">
      <pivotArea field="5" type="button" dataOnly="0" labelOnly="1" outline="0" axis="axisCol" fieldPosition="0"/>
    </format>
    <format dxfId="982">
      <pivotArea type="topRight" dataOnly="0" labelOnly="1" outline="0" fieldPosition="0"/>
    </format>
    <format dxfId="981">
      <pivotArea field="0" type="button" dataOnly="0" labelOnly="1" outline="0" axis="axisRow" fieldPosition="0"/>
    </format>
    <format dxfId="980">
      <pivotArea dataOnly="0" labelOnly="1" fieldPosition="0">
        <references count="1">
          <reference field="0" count="0"/>
        </references>
      </pivotArea>
    </format>
    <format dxfId="979">
      <pivotArea dataOnly="0" labelOnly="1" grandRow="1" outline="0" fieldPosition="0"/>
    </format>
    <format dxfId="97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977">
      <pivotArea dataOnly="0" labelOnly="1" fieldPosition="0">
        <references count="2">
          <reference field="0" count="1" selected="0">
            <x v="1"/>
          </reference>
          <reference field="3" count="2">
            <x v="6"/>
            <x v="19"/>
          </reference>
        </references>
      </pivotArea>
    </format>
    <format dxfId="976">
      <pivotArea dataOnly="0" labelOnly="1" fieldPosition="0">
        <references count="1">
          <reference field="5" count="0"/>
        </references>
      </pivotArea>
    </format>
    <format dxfId="975">
      <pivotArea type="origin" dataOnly="0" labelOnly="1" outline="0" fieldPosition="0"/>
    </format>
    <format dxfId="974">
      <pivotArea collapsedLevelsAreSubtotals="1" fieldPosition="0">
        <references count="1">
          <reference field="0" count="1">
            <x v="1"/>
          </reference>
        </references>
      </pivotArea>
    </format>
    <format dxfId="973">
      <pivotArea collapsedLevelsAreSubtotals="1" fieldPosition="0">
        <references count="1">
          <reference field="0" count="1">
            <x v="1"/>
          </reference>
        </references>
      </pivotArea>
    </format>
    <format dxfId="972">
      <pivotArea collapsedLevelsAreSubtotals="1" fieldPosition="0">
        <references count="1">
          <reference field="0" count="1">
            <x v="1"/>
          </reference>
        </references>
      </pivotArea>
    </format>
    <format dxfId="971">
      <pivotArea outline="0" fieldPosition="0">
        <references count="1">
          <reference field="4294967294" count="1">
            <x v="0"/>
          </reference>
        </references>
      </pivotArea>
    </format>
    <format dxfId="970">
      <pivotArea outline="0" fieldPosition="0">
        <references count="1">
          <reference field="4294967294" count="1">
            <x v="0"/>
          </reference>
        </references>
      </pivotArea>
    </format>
    <format dxfId="969">
      <pivotArea field="5" grandRow="1" outline="0" collapsedLevelsAreSubtotals="1" axis="axisCol" fieldPosition="0">
        <references count="1">
          <reference field="5" count="1" selected="0">
            <x v="1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15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ADOC" fld="61" subtotal="average" baseField="3" baseItem="0" numFmtId="1"/>
  </dataFields>
  <formats count="38">
    <format dxfId="964">
      <pivotArea type="all" dataOnly="0" outline="0" fieldPosition="0"/>
    </format>
    <format dxfId="963">
      <pivotArea outline="0" collapsedLevelsAreSubtotals="1" fieldPosition="0"/>
    </format>
    <format dxfId="962">
      <pivotArea type="origin" dataOnly="0" labelOnly="1" outline="0" fieldPosition="0"/>
    </format>
    <format dxfId="961">
      <pivotArea field="5" type="button" dataOnly="0" labelOnly="1" outline="0" axis="axisCol" fieldPosition="0"/>
    </format>
    <format dxfId="960">
      <pivotArea type="topRight" dataOnly="0" labelOnly="1" outline="0" fieldPosition="0"/>
    </format>
    <format dxfId="959">
      <pivotArea field="3" type="button" dataOnly="0" labelOnly="1" outline="0" axis="axisRow" fieldPosition="1"/>
    </format>
    <format dxfId="958">
      <pivotArea dataOnly="0" labelOnly="1" fieldPosition="0">
        <references count="1">
          <reference field="3" count="0"/>
        </references>
      </pivotArea>
    </format>
    <format dxfId="957">
      <pivotArea dataOnly="0" labelOnly="1" grandRow="1" outline="0" fieldPosition="0"/>
    </format>
    <format dxfId="956">
      <pivotArea dataOnly="0" labelOnly="1" fieldPosition="0">
        <references count="1">
          <reference field="5" count="0"/>
        </references>
      </pivotArea>
    </format>
    <format dxfId="955">
      <pivotArea type="all" dataOnly="0" outline="0" fieldPosition="0"/>
    </format>
    <format dxfId="954">
      <pivotArea outline="0" collapsedLevelsAreSubtotals="1" fieldPosition="0"/>
    </format>
    <format dxfId="953">
      <pivotArea type="origin" dataOnly="0" labelOnly="1" outline="0" fieldPosition="0"/>
    </format>
    <format dxfId="952">
      <pivotArea field="5" type="button" dataOnly="0" labelOnly="1" outline="0" axis="axisCol" fieldPosition="0"/>
    </format>
    <format dxfId="951">
      <pivotArea type="topRight" dataOnly="0" labelOnly="1" outline="0" fieldPosition="0"/>
    </format>
    <format dxfId="950">
      <pivotArea field="3" type="button" dataOnly="0" labelOnly="1" outline="0" axis="axisRow" fieldPosition="1"/>
    </format>
    <format dxfId="949">
      <pivotArea dataOnly="0" labelOnly="1" fieldPosition="0">
        <references count="1">
          <reference field="3" count="0"/>
        </references>
      </pivotArea>
    </format>
    <format dxfId="948">
      <pivotArea dataOnly="0" labelOnly="1" grandRow="1" outline="0" fieldPosition="0"/>
    </format>
    <format dxfId="947">
      <pivotArea dataOnly="0" labelOnly="1" fieldPosition="0">
        <references count="1">
          <reference field="5" count="0"/>
        </references>
      </pivotArea>
    </format>
    <format dxfId="946">
      <pivotArea type="all" dataOnly="0" outline="0" fieldPosition="0"/>
    </format>
    <format dxfId="945">
      <pivotArea outline="0" collapsedLevelsAreSubtotals="1" fieldPosition="0"/>
    </format>
    <format dxfId="944">
      <pivotArea type="origin" dataOnly="0" labelOnly="1" outline="0" fieldPosition="0"/>
    </format>
    <format dxfId="943">
      <pivotArea field="5" type="button" dataOnly="0" labelOnly="1" outline="0" axis="axisCol" fieldPosition="0"/>
    </format>
    <format dxfId="942">
      <pivotArea type="topRight" dataOnly="0" labelOnly="1" outline="0" fieldPosition="0"/>
    </format>
    <format dxfId="941">
      <pivotArea field="0" type="button" dataOnly="0" labelOnly="1" outline="0" axis="axisRow" fieldPosition="0"/>
    </format>
    <format dxfId="940">
      <pivotArea dataOnly="0" labelOnly="1" fieldPosition="0">
        <references count="1">
          <reference field="0" count="0"/>
        </references>
      </pivotArea>
    </format>
    <format dxfId="939">
      <pivotArea dataOnly="0" labelOnly="1" grandRow="1" outline="0" fieldPosition="0"/>
    </format>
    <format dxfId="93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937">
      <pivotArea dataOnly="0" labelOnly="1" fieldPosition="0">
        <references count="2">
          <reference field="0" count="1" selected="0">
            <x v="1"/>
          </reference>
          <reference field="3" count="2">
            <x v="6"/>
            <x v="19"/>
          </reference>
        </references>
      </pivotArea>
    </format>
    <format dxfId="936">
      <pivotArea dataOnly="0" labelOnly="1" fieldPosition="0">
        <references count="1">
          <reference field="5" count="0"/>
        </references>
      </pivotArea>
    </format>
    <format dxfId="935">
      <pivotArea type="origin" dataOnly="0" labelOnly="1" outline="0" fieldPosition="0"/>
    </format>
    <format dxfId="934">
      <pivotArea collapsedLevelsAreSubtotals="1" fieldPosition="0">
        <references count="1">
          <reference field="0" count="1">
            <x v="1"/>
          </reference>
        </references>
      </pivotArea>
    </format>
    <format dxfId="933">
      <pivotArea collapsedLevelsAreSubtotals="1" fieldPosition="0">
        <references count="1">
          <reference field="0" count="1">
            <x v="1"/>
          </reference>
        </references>
      </pivotArea>
    </format>
    <format dxfId="932">
      <pivotArea collapsedLevelsAreSubtotals="1" fieldPosition="0">
        <references count="1">
          <reference field="0" count="1">
            <x v="1"/>
          </reference>
        </references>
      </pivotArea>
    </format>
    <format dxfId="931">
      <pivotArea outline="0" fieldPosition="0">
        <references count="1">
          <reference field="4294967294" count="1">
            <x v="0"/>
          </reference>
        </references>
      </pivotArea>
    </format>
    <format dxfId="930">
      <pivotArea collapsedLevelsAreSubtotals="1" fieldPosition="0">
        <references count="1">
          <reference field="0" count="1">
            <x v="0"/>
          </reference>
        </references>
      </pivotArea>
    </format>
    <format dxfId="929">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928">
      <pivotArea collapsedLevelsAreSubtotals="1" fieldPosition="0">
        <references count="1">
          <reference field="0" count="1">
            <x v="1"/>
          </reference>
        </references>
      </pivotArea>
    </format>
    <format dxfId="927">
      <pivotArea collapsedLevelsAreSubtotals="1" fieldPosition="0">
        <references count="2">
          <reference field="0" count="1" selected="0">
            <x v="1"/>
          </reference>
          <reference field="3" count="2">
            <x v="6"/>
            <x v="1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8:I57"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x="3"/>
        <item x="4"/>
        <item x="5"/>
        <item x="6"/>
        <item x="7"/>
        <item x="8"/>
        <item x="9"/>
        <item x="10"/>
        <item h="1" x="1"/>
        <item h="1"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8">
    <i>
      <x v="1"/>
    </i>
    <i>
      <x v="2"/>
    </i>
    <i>
      <x v="3"/>
    </i>
    <i>
      <x v="4"/>
    </i>
    <i>
      <x v="5"/>
    </i>
    <i>
      <x v="6"/>
    </i>
    <i>
      <x v="7"/>
    </i>
    <i>
      <x v="8"/>
    </i>
  </colItems>
  <dataFields count="1">
    <dataField name="Promedio de BECAS" fld="62" subtotal="average" baseField="0" baseItem="0" numFmtId="164"/>
  </dataFields>
  <formats count="34">
    <format dxfId="922">
      <pivotArea type="all" dataOnly="0" outline="0" fieldPosition="0"/>
    </format>
    <format dxfId="921">
      <pivotArea outline="0" collapsedLevelsAreSubtotals="1" fieldPosition="0"/>
    </format>
    <format dxfId="920">
      <pivotArea type="origin" dataOnly="0" labelOnly="1" outline="0" fieldPosition="0"/>
    </format>
    <format dxfId="919">
      <pivotArea field="5" type="button" dataOnly="0" labelOnly="1" outline="0" axis="axisCol" fieldPosition="0"/>
    </format>
    <format dxfId="918">
      <pivotArea type="topRight" dataOnly="0" labelOnly="1" outline="0" fieldPosition="0"/>
    </format>
    <format dxfId="917">
      <pivotArea field="3" type="button" dataOnly="0" labelOnly="1" outline="0" axis="axisRow" fieldPosition="1"/>
    </format>
    <format dxfId="916">
      <pivotArea dataOnly="0" labelOnly="1" fieldPosition="0">
        <references count="1">
          <reference field="3" count="0"/>
        </references>
      </pivotArea>
    </format>
    <format dxfId="915">
      <pivotArea dataOnly="0" labelOnly="1" grandRow="1" outline="0" fieldPosition="0"/>
    </format>
    <format dxfId="914">
      <pivotArea dataOnly="0" labelOnly="1" fieldPosition="0">
        <references count="1">
          <reference field="5" count="0"/>
        </references>
      </pivotArea>
    </format>
    <format dxfId="913">
      <pivotArea type="all" dataOnly="0" outline="0" fieldPosition="0"/>
    </format>
    <format dxfId="912">
      <pivotArea outline="0" collapsedLevelsAreSubtotals="1" fieldPosition="0"/>
    </format>
    <format dxfId="911">
      <pivotArea type="origin" dataOnly="0" labelOnly="1" outline="0" fieldPosition="0"/>
    </format>
    <format dxfId="910">
      <pivotArea field="5" type="button" dataOnly="0" labelOnly="1" outline="0" axis="axisCol" fieldPosition="0"/>
    </format>
    <format dxfId="909">
      <pivotArea type="topRight" dataOnly="0" labelOnly="1" outline="0" fieldPosition="0"/>
    </format>
    <format dxfId="908">
      <pivotArea field="3" type="button" dataOnly="0" labelOnly="1" outline="0" axis="axisRow" fieldPosition="1"/>
    </format>
    <format dxfId="907">
      <pivotArea dataOnly="0" labelOnly="1" fieldPosition="0">
        <references count="1">
          <reference field="3" count="0"/>
        </references>
      </pivotArea>
    </format>
    <format dxfId="906">
      <pivotArea dataOnly="0" labelOnly="1" grandRow="1" outline="0" fieldPosition="0"/>
    </format>
    <format dxfId="905">
      <pivotArea dataOnly="0" labelOnly="1" fieldPosition="0">
        <references count="1">
          <reference field="5" count="0"/>
        </references>
      </pivotArea>
    </format>
    <format dxfId="904">
      <pivotArea type="all" dataOnly="0" outline="0" fieldPosition="0"/>
    </format>
    <format dxfId="903">
      <pivotArea outline="0" collapsedLevelsAreSubtotals="1" fieldPosition="0"/>
    </format>
    <format dxfId="902">
      <pivotArea type="origin" dataOnly="0" labelOnly="1" outline="0" fieldPosition="0"/>
    </format>
    <format dxfId="901">
      <pivotArea field="5" type="button" dataOnly="0" labelOnly="1" outline="0" axis="axisCol" fieldPosition="0"/>
    </format>
    <format dxfId="900">
      <pivotArea type="topRight" dataOnly="0" labelOnly="1" outline="0" fieldPosition="0"/>
    </format>
    <format dxfId="899">
      <pivotArea field="0" type="button" dataOnly="0" labelOnly="1" outline="0" axis="axisRow" fieldPosition="0"/>
    </format>
    <format dxfId="898">
      <pivotArea dataOnly="0" labelOnly="1" fieldPosition="0">
        <references count="1">
          <reference field="0" count="0"/>
        </references>
      </pivotArea>
    </format>
    <format dxfId="897">
      <pivotArea dataOnly="0" labelOnly="1" grandRow="1" outline="0" fieldPosition="0"/>
    </format>
    <format dxfId="896">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95">
      <pivotArea dataOnly="0" labelOnly="1" fieldPosition="0">
        <references count="2">
          <reference field="0" count="1" selected="0">
            <x v="1"/>
          </reference>
          <reference field="3" count="2">
            <x v="6"/>
            <x v="19"/>
          </reference>
        </references>
      </pivotArea>
    </format>
    <format dxfId="894">
      <pivotArea dataOnly="0" labelOnly="1" fieldPosition="0">
        <references count="1">
          <reference field="5" count="0"/>
        </references>
      </pivotArea>
    </format>
    <format dxfId="893">
      <pivotArea type="origin" dataOnly="0" labelOnly="1" outline="0" fieldPosition="0"/>
    </format>
    <format dxfId="892">
      <pivotArea collapsedLevelsAreSubtotals="1" fieldPosition="0">
        <references count="1">
          <reference field="0" count="1">
            <x v="1"/>
          </reference>
        </references>
      </pivotArea>
    </format>
    <format dxfId="891">
      <pivotArea collapsedLevelsAreSubtotals="1" fieldPosition="0">
        <references count="1">
          <reference field="0" count="1">
            <x v="1"/>
          </reference>
        </references>
      </pivotArea>
    </format>
    <format dxfId="890">
      <pivotArea collapsedLevelsAreSubtotals="1" fieldPosition="0">
        <references count="1">
          <reference field="0" count="1">
            <x v="1"/>
          </reference>
        </references>
      </pivotArea>
    </format>
    <format dxfId="889">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17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APC" fld="63" subtotal="average" baseField="0" baseItem="0" numFmtId="3"/>
  </dataFields>
  <formats count="37">
    <format dxfId="884">
      <pivotArea type="all" dataOnly="0" outline="0" fieldPosition="0"/>
    </format>
    <format dxfId="883">
      <pivotArea outline="0" collapsedLevelsAreSubtotals="1" fieldPosition="0"/>
    </format>
    <format dxfId="882">
      <pivotArea type="origin" dataOnly="0" labelOnly="1" outline="0" fieldPosition="0"/>
    </format>
    <format dxfId="881">
      <pivotArea field="5" type="button" dataOnly="0" labelOnly="1" outline="0" axis="axisCol" fieldPosition="0"/>
    </format>
    <format dxfId="880">
      <pivotArea type="topRight" dataOnly="0" labelOnly="1" outline="0" fieldPosition="0"/>
    </format>
    <format dxfId="879">
      <pivotArea field="3" type="button" dataOnly="0" labelOnly="1" outline="0" axis="axisRow" fieldPosition="1"/>
    </format>
    <format dxfId="878">
      <pivotArea dataOnly="0" labelOnly="1" fieldPosition="0">
        <references count="1">
          <reference field="3" count="0"/>
        </references>
      </pivotArea>
    </format>
    <format dxfId="877">
      <pivotArea dataOnly="0" labelOnly="1" grandRow="1" outline="0" fieldPosition="0"/>
    </format>
    <format dxfId="876">
      <pivotArea dataOnly="0" labelOnly="1" fieldPosition="0">
        <references count="1">
          <reference field="5" count="0"/>
        </references>
      </pivotArea>
    </format>
    <format dxfId="875">
      <pivotArea type="all" dataOnly="0" outline="0" fieldPosition="0"/>
    </format>
    <format dxfId="874">
      <pivotArea outline="0" collapsedLevelsAreSubtotals="1" fieldPosition="0"/>
    </format>
    <format dxfId="873">
      <pivotArea type="origin" dataOnly="0" labelOnly="1" outline="0" fieldPosition="0"/>
    </format>
    <format dxfId="872">
      <pivotArea field="5" type="button" dataOnly="0" labelOnly="1" outline="0" axis="axisCol" fieldPosition="0"/>
    </format>
    <format dxfId="871">
      <pivotArea type="topRight" dataOnly="0" labelOnly="1" outline="0" fieldPosition="0"/>
    </format>
    <format dxfId="870">
      <pivotArea field="3" type="button" dataOnly="0" labelOnly="1" outline="0" axis="axisRow" fieldPosition="1"/>
    </format>
    <format dxfId="869">
      <pivotArea dataOnly="0" labelOnly="1" fieldPosition="0">
        <references count="1">
          <reference field="3" count="0"/>
        </references>
      </pivotArea>
    </format>
    <format dxfId="868">
      <pivotArea dataOnly="0" labelOnly="1" grandRow="1" outline="0" fieldPosition="0"/>
    </format>
    <format dxfId="867">
      <pivotArea dataOnly="0" labelOnly="1" fieldPosition="0">
        <references count="1">
          <reference field="5" count="0"/>
        </references>
      </pivotArea>
    </format>
    <format dxfId="866">
      <pivotArea type="all" dataOnly="0" outline="0" fieldPosition="0"/>
    </format>
    <format dxfId="865">
      <pivotArea outline="0" collapsedLevelsAreSubtotals="1" fieldPosition="0"/>
    </format>
    <format dxfId="864">
      <pivotArea type="origin" dataOnly="0" labelOnly="1" outline="0" fieldPosition="0"/>
    </format>
    <format dxfId="863">
      <pivotArea field="5" type="button" dataOnly="0" labelOnly="1" outline="0" axis="axisCol" fieldPosition="0"/>
    </format>
    <format dxfId="862">
      <pivotArea type="topRight" dataOnly="0" labelOnly="1" outline="0" fieldPosition="0"/>
    </format>
    <format dxfId="861">
      <pivotArea field="0" type="button" dataOnly="0" labelOnly="1" outline="0" axis="axisRow" fieldPosition="0"/>
    </format>
    <format dxfId="860">
      <pivotArea dataOnly="0" labelOnly="1" fieldPosition="0">
        <references count="1">
          <reference field="0" count="0"/>
        </references>
      </pivotArea>
    </format>
    <format dxfId="859">
      <pivotArea dataOnly="0" labelOnly="1" grandRow="1" outline="0" fieldPosition="0"/>
    </format>
    <format dxfId="85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57">
      <pivotArea dataOnly="0" labelOnly="1" fieldPosition="0">
        <references count="2">
          <reference field="0" count="1" selected="0">
            <x v="1"/>
          </reference>
          <reference field="3" count="2">
            <x v="6"/>
            <x v="19"/>
          </reference>
        </references>
      </pivotArea>
    </format>
    <format dxfId="856">
      <pivotArea dataOnly="0" labelOnly="1" fieldPosition="0">
        <references count="1">
          <reference field="5" count="0"/>
        </references>
      </pivotArea>
    </format>
    <format dxfId="855">
      <pivotArea type="origin" dataOnly="0" labelOnly="1" outline="0" fieldPosition="0"/>
    </format>
    <format dxfId="854">
      <pivotArea collapsedLevelsAreSubtotals="1" fieldPosition="0">
        <references count="1">
          <reference field="0" count="1">
            <x v="1"/>
          </reference>
        </references>
      </pivotArea>
    </format>
    <format dxfId="853">
      <pivotArea collapsedLevelsAreSubtotals="1" fieldPosition="0">
        <references count="1">
          <reference field="0" count="1">
            <x v="1"/>
          </reference>
        </references>
      </pivotArea>
    </format>
    <format dxfId="852">
      <pivotArea collapsedLevelsAreSubtotals="1" fieldPosition="0">
        <references count="1">
          <reference field="0" count="1">
            <x v="1"/>
          </reference>
        </references>
      </pivotArea>
    </format>
    <format dxfId="851">
      <pivotArea collapsedLevelsAreSubtotals="1" fieldPosition="0">
        <references count="1">
          <reference field="0" count="1">
            <x v="0"/>
          </reference>
        </references>
      </pivotArea>
    </format>
    <format dxfId="850">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49">
      <pivotArea collapsedLevelsAreSubtotals="1" fieldPosition="0">
        <references count="1">
          <reference field="0" count="1">
            <x v="1"/>
          </reference>
        </references>
      </pivotArea>
    </format>
    <format dxfId="848">
      <pivotArea collapsedLevelsAreSubtotals="1" fieldPosition="0">
        <references count="2">
          <reference field="0" count="1" selected="0">
            <x v="1"/>
          </reference>
          <reference field="3" count="2">
            <x v="6"/>
            <x v="1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7" cacheId="1"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compact="0" compactData="0" multipleFieldFilters="0" rowHeaderCaption="Entidad / sostenimiento" colHeaderCaption="Año">
  <location ref="A3:R36" firstHeaderRow="0" firstDataRow="1" firstDataCol="1" rowPageCount="1" colPageCount="1"/>
  <pivotFields count="76">
    <pivotField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sortType="ascending">
      <items count="35">
        <item x="0"/>
        <item x="1"/>
        <item x="2"/>
        <item x="3"/>
        <item x="4"/>
        <item x="5"/>
        <item x="6"/>
        <item x="7"/>
        <item x="8"/>
        <item x="9"/>
        <item x="10"/>
        <item x="11"/>
        <item x="12"/>
        <item x="13"/>
        <item x="14"/>
        <item x="15"/>
        <item x="16"/>
        <item x="17"/>
        <item x="18"/>
        <item x="19"/>
        <item h="1" x="33"/>
        <item h="1" x="32"/>
        <item x="20"/>
        <item x="21"/>
        <item x="22"/>
        <item x="23"/>
        <item x="24"/>
        <item x="25"/>
        <item x="26"/>
        <item x="27"/>
        <item x="28"/>
        <item x="29"/>
        <item x="30"/>
        <item x="3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compact="0" outline="0" showAll="0">
      <items count="12">
        <item x="2"/>
        <item x="3"/>
        <item x="4"/>
        <item x="5"/>
        <item x="6"/>
        <item x="7"/>
        <item x="8"/>
        <item x="9"/>
        <item m="1" x="10"/>
        <item x="1"/>
        <item x="0"/>
        <item t="default"/>
      </items>
      <extLst>
        <ext xmlns:x14="http://schemas.microsoft.com/office/spreadsheetml/2009/9/main" uri="{2946ED86-A175-432a-8AC1-64E0C546D7DE}">
          <x14:pivotField fillDownLabels="1"/>
        </ext>
      </extLst>
    </pivotField>
    <pivotField dataField="1"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Fields count="1">
    <field x="3"/>
  </rowFields>
  <rowItems count="33">
    <i>
      <x/>
    </i>
    <i>
      <x v="1"/>
    </i>
    <i>
      <x v="2"/>
    </i>
    <i>
      <x v="3"/>
    </i>
    <i>
      <x v="4"/>
    </i>
    <i>
      <x v="5"/>
    </i>
    <i>
      <x v="6"/>
    </i>
    <i>
      <x v="7"/>
    </i>
    <i>
      <x v="8"/>
    </i>
    <i>
      <x v="9"/>
    </i>
    <i>
      <x v="10"/>
    </i>
    <i>
      <x v="11"/>
    </i>
    <i>
      <x v="12"/>
    </i>
    <i>
      <x v="13"/>
    </i>
    <i>
      <x v="14"/>
    </i>
    <i>
      <x v="15"/>
    </i>
    <i>
      <x v="16"/>
    </i>
    <i>
      <x v="17"/>
    </i>
    <i>
      <x v="18"/>
    </i>
    <i>
      <x v="19"/>
    </i>
    <i>
      <x v="22"/>
    </i>
    <i>
      <x v="23"/>
    </i>
    <i>
      <x v="24"/>
    </i>
    <i>
      <x v="25"/>
    </i>
    <i>
      <x v="26"/>
    </i>
    <i>
      <x v="27"/>
    </i>
    <i>
      <x v="28"/>
    </i>
    <i>
      <x v="29"/>
    </i>
    <i>
      <x v="30"/>
    </i>
    <i>
      <x v="31"/>
    </i>
    <i>
      <x v="32"/>
    </i>
    <i>
      <x v="33"/>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
    <pageField fld="5" item="9" hier="-1"/>
  </pageFields>
  <dataFields count="17">
    <dataField name="Suma de matricula" fld="6" baseField="3" baseItem="0"/>
    <dataField name="Suma de capacitados" fld="28" baseField="0" baseItem="0"/>
    <dataField name="Suma de certificacion" fld="33" baseField="0" baseItem="0"/>
    <dataField name="Promedio de TIT" fld="52" subtotal="average" baseField="3" baseItem="0" numFmtId="164"/>
    <dataField name="Promedio de AE" fld="51" subtotal="average" baseField="0" baseItem="0" numFmtId="165"/>
    <dataField name="Promedio de COB" fld="53" subtotal="average" baseField="0" baseItem="0" numFmtId="165"/>
    <dataField name="Promedio de ATN" fld="54" subtotal="average" baseField="0" baseItem="0" numFmtId="165"/>
    <dataField name="Promedio de ABS" fld="55" subtotal="average" baseField="0" baseItem="0" numFmtId="165"/>
    <dataField name="Promedio de ACI" fld="56" subtotal="average" baseField="0" baseItem="0" numFmtId="165"/>
    <dataField name="Promedio de REP" fld="57" subtotal="average" baseField="0" baseItem="0" numFmtId="165"/>
    <dataField name="Promedio de TE" fld="58" subtotal="average" baseField="0" baseItem="0" numFmtId="164"/>
    <dataField name="Promedio de COSTO" fld="59" subtotal="average" baseField="0" baseItem="0" numFmtId="164"/>
    <dataField name="Promedio de ET" fld="60" subtotal="average" baseField="0" baseItem="0" numFmtId="164"/>
    <dataField name="Promedio de ADOC" fld="61" subtotal="average" baseField="0" baseItem="0" numFmtId="165"/>
    <dataField name="Promedio de APC" fld="63" subtotal="average" baseField="0" baseItem="0" numFmtId="165"/>
    <dataField name="Promedio de BECEXT" fld="65" subtotal="average" baseField="0" baseItem="0" numFmtId="165"/>
    <dataField name="Promedio de PCSINEMS" fld="66" subtotal="average" baseField="0" baseItem="0" numFmtId="165"/>
  </dataFields>
  <formats count="46">
    <format dxfId="1610">
      <pivotArea type="all" dataOnly="0" outline="0" fieldPosition="0"/>
    </format>
    <format dxfId="1609">
      <pivotArea outline="0" collapsedLevelsAreSubtotals="1" fieldPosition="0"/>
    </format>
    <format dxfId="1608">
      <pivotArea type="origin" dataOnly="0" labelOnly="1" outline="0" fieldPosition="0"/>
    </format>
    <format dxfId="1607">
      <pivotArea field="5" type="button" dataOnly="0" labelOnly="1" outline="0" axis="axisPage" fieldPosition="0"/>
    </format>
    <format dxfId="1606">
      <pivotArea type="topRight" dataOnly="0" labelOnly="1" outline="0" fieldPosition="0"/>
    </format>
    <format dxfId="1605">
      <pivotArea field="3" type="button" dataOnly="0" labelOnly="1" outline="0" axis="axisRow" fieldPosition="0"/>
    </format>
    <format dxfId="1604">
      <pivotArea dataOnly="0" labelOnly="1" grandRow="1" outline="0" fieldPosition="0"/>
    </format>
    <format dxfId="1603">
      <pivotArea type="all" dataOnly="0" outline="0" fieldPosition="0"/>
    </format>
    <format dxfId="1602">
      <pivotArea outline="0" collapsedLevelsAreSubtotals="1" fieldPosition="0"/>
    </format>
    <format dxfId="1601">
      <pivotArea type="origin" dataOnly="0" labelOnly="1" outline="0" fieldPosition="0"/>
    </format>
    <format dxfId="1600">
      <pivotArea field="5" type="button" dataOnly="0" labelOnly="1" outline="0" axis="axisPage" fieldPosition="0"/>
    </format>
    <format dxfId="1599">
      <pivotArea type="topRight" dataOnly="0" labelOnly="1" outline="0" fieldPosition="0"/>
    </format>
    <format dxfId="1598">
      <pivotArea field="3" type="button" dataOnly="0" labelOnly="1" outline="0" axis="axisRow" fieldPosition="0"/>
    </format>
    <format dxfId="1597">
      <pivotArea dataOnly="0" labelOnly="1" grandRow="1" outline="0" fieldPosition="0"/>
    </format>
    <format dxfId="1596">
      <pivotArea type="all" dataOnly="0" outline="0" fieldPosition="0"/>
    </format>
    <format dxfId="1595">
      <pivotArea outline="0" collapsedLevelsAreSubtotals="1" fieldPosition="0"/>
    </format>
    <format dxfId="1594">
      <pivotArea type="origin" dataOnly="0" labelOnly="1" outline="0" fieldPosition="0"/>
    </format>
    <format dxfId="1593">
      <pivotArea field="5" type="button" dataOnly="0" labelOnly="1" outline="0" axis="axisPage" fieldPosition="0"/>
    </format>
    <format dxfId="1592">
      <pivotArea type="topRight" dataOnly="0" labelOnly="1" outline="0" fieldPosition="0"/>
    </format>
    <format dxfId="1591">
      <pivotArea field="0" type="button" dataOnly="0" labelOnly="1" outline="0"/>
    </format>
    <format dxfId="1590">
      <pivotArea dataOnly="0" labelOnly="1" grandRow="1" outline="0" fieldPosition="0"/>
    </format>
    <format dxfId="1589">
      <pivotArea type="origin" dataOnly="0" labelOnly="1" outline="0" fieldPosition="0"/>
    </format>
    <format dxfId="1588">
      <pivotArea grandRow="1" outline="0" collapsedLevelsAreSubtotals="1" fieldPosition="0"/>
    </format>
    <format dxfId="1587">
      <pivotArea grandRow="1" outline="0" collapsedLevelsAreSubtotals="1" fieldPosition="0"/>
    </format>
    <format dxfId="1586">
      <pivotArea grandRow="1" outline="0" collapsedLevelsAreSubtotals="1" fieldPosition="0"/>
    </format>
    <format dxfId="1585">
      <pivotArea grandRow="1" outline="0" collapsedLevelsAreSubtotals="1" fieldPosition="0"/>
    </format>
    <format dxfId="1584">
      <pivotArea grandRow="1" outline="0" collapsedLevelsAreSubtotals="1" fieldPosition="0"/>
    </format>
    <format dxfId="1583">
      <pivotArea grandRow="1" outline="0" collapsedLevelsAreSubtotals="1" fieldPosition="0"/>
    </format>
    <format dxfId="1582">
      <pivotArea grandRow="1" outline="0" collapsedLevelsAreSubtotals="1" fieldPosition="0"/>
    </format>
    <format dxfId="1581">
      <pivotArea grandRow="1" outline="0" collapsedLevelsAreSubtotals="1" fieldPosition="0"/>
    </format>
    <format dxfId="1580">
      <pivotArea outline="0" fieldPosition="0">
        <references count="1">
          <reference field="4294967294" count="1">
            <x v="3"/>
          </reference>
        </references>
      </pivotArea>
    </format>
    <format dxfId="1579">
      <pivotArea outline="0" collapsedLevelsAreSubtotals="1" fieldPosition="0">
        <references count="1">
          <reference field="4294967294" count="6" selected="0">
            <x v="4"/>
            <x v="5"/>
            <x v="6"/>
            <x v="7"/>
            <x v="8"/>
            <x v="9"/>
          </reference>
        </references>
      </pivotArea>
    </format>
    <format dxfId="1578">
      <pivotArea outline="0" collapsedLevelsAreSubtotals="1" fieldPosition="0">
        <references count="1">
          <reference field="4294967294" count="4" selected="0">
            <x v="13"/>
            <x v="14"/>
            <x v="15"/>
            <x v="16"/>
          </reference>
        </references>
      </pivotArea>
    </format>
    <format dxfId="1577">
      <pivotArea outline="0" collapsedLevelsAreSubtotals="1" fieldPosition="0">
        <references count="1">
          <reference field="4294967294" count="3" selected="0">
            <x v="10"/>
            <x v="11"/>
            <x v="12"/>
          </reference>
        </references>
      </pivotArea>
    </format>
    <format dxfId="1576">
      <pivotArea outline="0" collapsedLevelsAreSubtotals="1" fieldPosition="0">
        <references count="1">
          <reference field="4294967294" count="3" selected="0">
            <x v="10"/>
            <x v="11"/>
            <x v="12"/>
          </reference>
        </references>
      </pivotArea>
    </format>
    <format dxfId="1575">
      <pivotArea outline="0" collapsedLevelsAreSubtotals="1" fieldPosition="0">
        <references count="1">
          <reference field="4294967294" count="3" selected="0">
            <x v="10"/>
            <x v="11"/>
            <x v="12"/>
          </reference>
        </references>
      </pivotArea>
    </format>
    <format dxfId="1574">
      <pivotArea outline="0" collapsedLevelsAreSubtotals="1" fieldPosition="0">
        <references count="1">
          <reference field="4294967294" count="3" selected="0">
            <x v="10"/>
            <x v="11"/>
            <x v="12"/>
          </reference>
        </references>
      </pivotArea>
    </format>
    <format dxfId="1573">
      <pivotArea outline="0" collapsedLevelsAreSubtotals="1" fieldPosition="0">
        <references count="1">
          <reference field="4294967294" count="3" selected="0">
            <x v="10"/>
            <x v="11"/>
            <x v="12"/>
          </reference>
        </references>
      </pivotArea>
    </format>
    <format dxfId="1572">
      <pivotArea outline="0" collapsedLevelsAreSubtotals="1" fieldPosition="0">
        <references count="1">
          <reference field="4294967294" count="3" selected="0">
            <x v="10"/>
            <x v="11"/>
            <x v="12"/>
          </reference>
        </references>
      </pivotArea>
    </format>
    <format dxfId="1571">
      <pivotArea outline="0" collapsedLevelsAreSubtotals="1" fieldPosition="0">
        <references count="1">
          <reference field="4294967294" count="3" selected="0">
            <x v="10"/>
            <x v="11"/>
            <x v="12"/>
          </reference>
        </references>
      </pivotArea>
    </format>
    <format dxfId="1570">
      <pivotArea outline="0" collapsedLevelsAreSubtotals="1" fieldPosition="0">
        <references count="1">
          <reference field="4294967294" count="3" selected="0">
            <x v="10"/>
            <x v="11"/>
            <x v="12"/>
          </reference>
        </references>
      </pivotArea>
    </format>
    <format dxfId="1569">
      <pivotArea outline="0" collapsedLevelsAreSubtotals="1" fieldPosition="0">
        <references count="1">
          <reference field="4294967294" count="3" selected="0">
            <x v="10"/>
            <x v="11"/>
            <x v="12"/>
          </reference>
        </references>
      </pivotArea>
    </format>
    <format dxfId="1568">
      <pivotArea field="3" type="button" dataOnly="0" labelOnly="1" outline="0" axis="axisRow" fieldPosition="0"/>
    </format>
    <format dxfId="1567">
      <pivotArea dataOnly="0" labelOnly="1" outline="0" fieldPosition="0">
        <references count="1">
          <reference field="4294967294" count="17">
            <x v="0"/>
            <x v="1"/>
            <x v="2"/>
            <x v="3"/>
            <x v="4"/>
            <x v="5"/>
            <x v="6"/>
            <x v="7"/>
            <x v="8"/>
            <x v="9"/>
            <x v="10"/>
            <x v="11"/>
            <x v="12"/>
            <x v="13"/>
            <x v="14"/>
            <x v="15"/>
            <x v="16"/>
          </reference>
        </references>
      </pivotArea>
    </format>
    <format dxfId="1566">
      <pivotArea dataOnly="0" labelOnly="1" outline="0" fieldPosition="0">
        <references count="1">
          <reference field="4294967294" count="17">
            <x v="0"/>
            <x v="1"/>
            <x v="2"/>
            <x v="3"/>
            <x v="4"/>
            <x v="5"/>
            <x v="6"/>
            <x v="7"/>
            <x v="8"/>
            <x v="9"/>
            <x v="10"/>
            <x v="11"/>
            <x v="12"/>
            <x v="13"/>
            <x v="14"/>
            <x v="15"/>
            <x v="16"/>
          </reference>
        </references>
      </pivotArea>
    </format>
    <format dxfId="1565">
      <pivotArea dataOnly="0" labelOnly="1" outline="0" fieldPosition="0">
        <references count="1">
          <reference field="4294967294" count="17">
            <x v="0"/>
            <x v="1"/>
            <x v="2"/>
            <x v="3"/>
            <x v="4"/>
            <x v="5"/>
            <x v="6"/>
            <x v="7"/>
            <x v="8"/>
            <x v="9"/>
            <x v="10"/>
            <x v="11"/>
            <x v="12"/>
            <x v="13"/>
            <x v="14"/>
            <x v="15"/>
            <x v="16"/>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TablaDinámica7" cacheId="1"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8:H57" firstHeaderRow="1" firstDataRow="2" firstDataCol="1"/>
  <pivotFields count="76">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x="3"/>
        <item x="4"/>
        <item x="5"/>
        <item x="6"/>
        <item x="7"/>
        <item x="8"/>
        <item x="9"/>
        <item m="1" x="10"/>
        <item h="1" x="1"/>
        <item h="1"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7">
    <i>
      <x v="1"/>
    </i>
    <i>
      <x v="2"/>
    </i>
    <i>
      <x v="3"/>
    </i>
    <i>
      <x v="4"/>
    </i>
    <i>
      <x v="5"/>
    </i>
    <i>
      <x v="6"/>
    </i>
    <i>
      <x v="7"/>
    </i>
  </colItems>
  <dataFields count="1">
    <dataField name="Suma de ADMPC" fld="64" baseField="0" baseItem="0"/>
  </dataFields>
  <formats count="37">
    <format dxfId="843">
      <pivotArea type="all" dataOnly="0" outline="0" fieldPosition="0"/>
    </format>
    <format dxfId="842">
      <pivotArea outline="0" collapsedLevelsAreSubtotals="1" fieldPosition="0"/>
    </format>
    <format dxfId="841">
      <pivotArea type="origin" dataOnly="0" labelOnly="1" outline="0" fieldPosition="0"/>
    </format>
    <format dxfId="840">
      <pivotArea field="5" type="button" dataOnly="0" labelOnly="1" outline="0" axis="axisCol" fieldPosition="0"/>
    </format>
    <format dxfId="839">
      <pivotArea type="topRight" dataOnly="0" labelOnly="1" outline="0" fieldPosition="0"/>
    </format>
    <format dxfId="838">
      <pivotArea field="3" type="button" dataOnly="0" labelOnly="1" outline="0" axis="axisRow" fieldPosition="1"/>
    </format>
    <format dxfId="837">
      <pivotArea dataOnly="0" labelOnly="1" fieldPosition="0">
        <references count="1">
          <reference field="3" count="0"/>
        </references>
      </pivotArea>
    </format>
    <format dxfId="836">
      <pivotArea dataOnly="0" labelOnly="1" grandRow="1" outline="0" fieldPosition="0"/>
    </format>
    <format dxfId="835">
      <pivotArea dataOnly="0" labelOnly="1" fieldPosition="0">
        <references count="1">
          <reference field="5" count="0"/>
        </references>
      </pivotArea>
    </format>
    <format dxfId="834">
      <pivotArea type="all" dataOnly="0" outline="0" fieldPosition="0"/>
    </format>
    <format dxfId="833">
      <pivotArea outline="0" collapsedLevelsAreSubtotals="1" fieldPosition="0"/>
    </format>
    <format dxfId="832">
      <pivotArea type="origin" dataOnly="0" labelOnly="1" outline="0" fieldPosition="0"/>
    </format>
    <format dxfId="831">
      <pivotArea field="5" type="button" dataOnly="0" labelOnly="1" outline="0" axis="axisCol" fieldPosition="0"/>
    </format>
    <format dxfId="830">
      <pivotArea type="topRight" dataOnly="0" labelOnly="1" outline="0" fieldPosition="0"/>
    </format>
    <format dxfId="829">
      <pivotArea field="3" type="button" dataOnly="0" labelOnly="1" outline="0" axis="axisRow" fieldPosition="1"/>
    </format>
    <format dxfId="828">
      <pivotArea dataOnly="0" labelOnly="1" fieldPosition="0">
        <references count="1">
          <reference field="3" count="0"/>
        </references>
      </pivotArea>
    </format>
    <format dxfId="827">
      <pivotArea dataOnly="0" labelOnly="1" grandRow="1" outline="0" fieldPosition="0"/>
    </format>
    <format dxfId="826">
      <pivotArea dataOnly="0" labelOnly="1" fieldPosition="0">
        <references count="1">
          <reference field="5" count="0"/>
        </references>
      </pivotArea>
    </format>
    <format dxfId="825">
      <pivotArea type="all" dataOnly="0" outline="0" fieldPosition="0"/>
    </format>
    <format dxfId="824">
      <pivotArea outline="0" collapsedLevelsAreSubtotals="1" fieldPosition="0"/>
    </format>
    <format dxfId="823">
      <pivotArea type="origin" dataOnly="0" labelOnly="1" outline="0" fieldPosition="0"/>
    </format>
    <format dxfId="822">
      <pivotArea field="5" type="button" dataOnly="0" labelOnly="1" outline="0" axis="axisCol" fieldPosition="0"/>
    </format>
    <format dxfId="821">
      <pivotArea type="topRight" dataOnly="0" labelOnly="1" outline="0" fieldPosition="0"/>
    </format>
    <format dxfId="820">
      <pivotArea field="0" type="button" dataOnly="0" labelOnly="1" outline="0" axis="axisRow" fieldPosition="0"/>
    </format>
    <format dxfId="819">
      <pivotArea dataOnly="0" labelOnly="1" fieldPosition="0">
        <references count="1">
          <reference field="0" count="0"/>
        </references>
      </pivotArea>
    </format>
    <format dxfId="818">
      <pivotArea dataOnly="0" labelOnly="1" grandRow="1" outline="0" fieldPosition="0"/>
    </format>
    <format dxfId="817">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16">
      <pivotArea dataOnly="0" labelOnly="1" fieldPosition="0">
        <references count="2">
          <reference field="0" count="1" selected="0">
            <x v="1"/>
          </reference>
          <reference field="3" count="2">
            <x v="6"/>
            <x v="19"/>
          </reference>
        </references>
      </pivotArea>
    </format>
    <format dxfId="815">
      <pivotArea dataOnly="0" labelOnly="1" fieldPosition="0">
        <references count="1">
          <reference field="5" count="0"/>
        </references>
      </pivotArea>
    </format>
    <format dxfId="814">
      <pivotArea type="origin" dataOnly="0" labelOnly="1" outline="0" fieldPosition="0"/>
    </format>
    <format dxfId="813">
      <pivotArea collapsedLevelsAreSubtotals="1" fieldPosition="0">
        <references count="1">
          <reference field="0" count="1">
            <x v="1"/>
          </reference>
        </references>
      </pivotArea>
    </format>
    <format dxfId="812">
      <pivotArea collapsedLevelsAreSubtotals="1" fieldPosition="0">
        <references count="1">
          <reference field="0" count="1">
            <x v="1"/>
          </reference>
        </references>
      </pivotArea>
    </format>
    <format dxfId="811">
      <pivotArea collapsedLevelsAreSubtotals="1" fieldPosition="0">
        <references count="1">
          <reference field="0" count="1">
            <x v="1"/>
          </reference>
        </references>
      </pivotArea>
    </format>
    <format dxfId="810">
      <pivotArea collapsedLevelsAreSubtotals="1" fieldPosition="0">
        <references count="1">
          <reference field="0" count="1">
            <x v="0"/>
          </reference>
        </references>
      </pivotArea>
    </format>
    <format dxfId="809">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808">
      <pivotArea collapsedLevelsAreSubtotals="1" fieldPosition="0">
        <references count="1">
          <reference field="0" count="1">
            <x v="1"/>
          </reference>
        </references>
      </pivotArea>
    </format>
    <format dxfId="807">
      <pivotArea collapsedLevelsAreSubtotals="1" fieldPosition="0">
        <references count="2">
          <reference field="0" count="1" selected="0">
            <x v="1"/>
          </reference>
          <reference field="3" count="2">
            <x v="6"/>
            <x v="19"/>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19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n="2022"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Suma de capacitados" fld="28" baseField="3" baseItem="28" numFmtId="3"/>
  </dataFields>
  <formats count="81">
    <format dxfId="802">
      <pivotArea type="all" dataOnly="0" outline="0" fieldPosition="0"/>
    </format>
    <format dxfId="801">
      <pivotArea outline="0" collapsedLevelsAreSubtotals="1" fieldPosition="0"/>
    </format>
    <format dxfId="800">
      <pivotArea type="origin" dataOnly="0" labelOnly="1" outline="0" fieldPosition="0"/>
    </format>
    <format dxfId="799">
      <pivotArea field="5" type="button" dataOnly="0" labelOnly="1" outline="0" axis="axisCol" fieldPosition="0"/>
    </format>
    <format dxfId="798">
      <pivotArea type="topRight" dataOnly="0" labelOnly="1" outline="0" fieldPosition="0"/>
    </format>
    <format dxfId="797">
      <pivotArea field="3" type="button" dataOnly="0" labelOnly="1" outline="0" axis="axisRow" fieldPosition="1"/>
    </format>
    <format dxfId="796">
      <pivotArea dataOnly="0" labelOnly="1" fieldPosition="0">
        <references count="1">
          <reference field="3" count="0"/>
        </references>
      </pivotArea>
    </format>
    <format dxfId="795">
      <pivotArea dataOnly="0" labelOnly="1" grandRow="1" outline="0" fieldPosition="0"/>
    </format>
    <format dxfId="794">
      <pivotArea dataOnly="0" labelOnly="1" fieldPosition="0">
        <references count="1">
          <reference field="5" count="0"/>
        </references>
      </pivotArea>
    </format>
    <format dxfId="793">
      <pivotArea type="all" dataOnly="0" outline="0" fieldPosition="0"/>
    </format>
    <format dxfId="792">
      <pivotArea outline="0" collapsedLevelsAreSubtotals="1" fieldPosition="0"/>
    </format>
    <format dxfId="791">
      <pivotArea type="origin" dataOnly="0" labelOnly="1" outline="0" fieldPosition="0"/>
    </format>
    <format dxfId="790">
      <pivotArea field="5" type="button" dataOnly="0" labelOnly="1" outline="0" axis="axisCol" fieldPosition="0"/>
    </format>
    <format dxfId="789">
      <pivotArea type="topRight" dataOnly="0" labelOnly="1" outline="0" fieldPosition="0"/>
    </format>
    <format dxfId="788">
      <pivotArea field="3" type="button" dataOnly="0" labelOnly="1" outline="0" axis="axisRow" fieldPosition="1"/>
    </format>
    <format dxfId="787">
      <pivotArea dataOnly="0" labelOnly="1" fieldPosition="0">
        <references count="1">
          <reference field="3" count="0"/>
        </references>
      </pivotArea>
    </format>
    <format dxfId="786">
      <pivotArea dataOnly="0" labelOnly="1" grandRow="1" outline="0" fieldPosition="0"/>
    </format>
    <format dxfId="785">
      <pivotArea dataOnly="0" labelOnly="1" fieldPosition="0">
        <references count="1">
          <reference field="5" count="0"/>
        </references>
      </pivotArea>
    </format>
    <format dxfId="784">
      <pivotArea type="all" dataOnly="0" outline="0" fieldPosition="0"/>
    </format>
    <format dxfId="783">
      <pivotArea outline="0" collapsedLevelsAreSubtotals="1" fieldPosition="0"/>
    </format>
    <format dxfId="782">
      <pivotArea type="origin" dataOnly="0" labelOnly="1" outline="0" fieldPosition="0"/>
    </format>
    <format dxfId="781">
      <pivotArea field="5" type="button" dataOnly="0" labelOnly="1" outline="0" axis="axisCol" fieldPosition="0"/>
    </format>
    <format dxfId="780">
      <pivotArea type="topRight" dataOnly="0" labelOnly="1" outline="0" fieldPosition="0"/>
    </format>
    <format dxfId="779">
      <pivotArea field="0" type="button" dataOnly="0" labelOnly="1" outline="0" axis="axisRow" fieldPosition="0"/>
    </format>
    <format dxfId="778">
      <pivotArea dataOnly="0" labelOnly="1" fieldPosition="0">
        <references count="1">
          <reference field="0" count="0"/>
        </references>
      </pivotArea>
    </format>
    <format dxfId="777">
      <pivotArea dataOnly="0" labelOnly="1" grandRow="1" outline="0" fieldPosition="0"/>
    </format>
    <format dxfId="776">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775">
      <pivotArea dataOnly="0" labelOnly="1" fieldPosition="0">
        <references count="2">
          <reference field="0" count="1" selected="0">
            <x v="1"/>
          </reference>
          <reference field="3" count="2">
            <x v="6"/>
            <x v="19"/>
          </reference>
        </references>
      </pivotArea>
    </format>
    <format dxfId="774">
      <pivotArea dataOnly="0" labelOnly="1" fieldPosition="0">
        <references count="1">
          <reference field="5" count="0"/>
        </references>
      </pivotArea>
    </format>
    <format dxfId="773">
      <pivotArea type="origin" dataOnly="0" labelOnly="1" outline="0" fieldPosition="0"/>
    </format>
    <format dxfId="772">
      <pivotArea collapsedLevelsAreSubtotals="1" fieldPosition="0">
        <references count="1">
          <reference field="0" count="1">
            <x v="1"/>
          </reference>
        </references>
      </pivotArea>
    </format>
    <format dxfId="771">
      <pivotArea collapsedLevelsAreSubtotals="1" fieldPosition="0">
        <references count="1">
          <reference field="0" count="1">
            <x v="1"/>
          </reference>
        </references>
      </pivotArea>
    </format>
    <format dxfId="770">
      <pivotArea collapsedLevelsAreSubtotals="1" fieldPosition="0">
        <references count="1">
          <reference field="0" count="1">
            <x v="1"/>
          </reference>
        </references>
      </pivotArea>
    </format>
    <format dxfId="769">
      <pivotArea dataOnly="0" labelOnly="1" fieldPosition="0">
        <references count="1">
          <reference field="5" count="1">
            <x v="0"/>
          </reference>
        </references>
      </pivotArea>
    </format>
    <format dxfId="768">
      <pivotArea collapsedLevelsAreSubtotals="1" fieldPosition="0">
        <references count="2">
          <reference field="0" count="1">
            <x v="0"/>
          </reference>
          <reference field="5" count="1" selected="0">
            <x v="0"/>
          </reference>
        </references>
      </pivotArea>
    </format>
    <format dxfId="767">
      <pivotArea collapsedLevelsAreSubtotals="1" fieldPosition="0">
        <references count="3">
          <reference field="0" count="1" selected="0">
            <x v="0"/>
          </reference>
          <reference field="3" count="1">
            <x v="0"/>
          </reference>
          <reference field="5" count="1" selected="0">
            <x v="0"/>
          </reference>
        </references>
      </pivotArea>
    </format>
    <format dxfId="766">
      <pivotArea collapsedLevelsAreSubtotals="1" fieldPosition="0">
        <references count="3">
          <reference field="0" count="1" selected="0">
            <x v="0"/>
          </reference>
          <reference field="3" count="1">
            <x v="2"/>
          </reference>
          <reference field="5" count="1" selected="0">
            <x v="0"/>
          </reference>
        </references>
      </pivotArea>
    </format>
    <format dxfId="765">
      <pivotArea collapsedLevelsAreSubtotals="1" fieldPosition="0">
        <references count="3">
          <reference field="0" count="1" selected="0">
            <x v="0"/>
          </reference>
          <reference field="3" count="1">
            <x v="4"/>
          </reference>
          <reference field="5" count="1" selected="0">
            <x v="0"/>
          </reference>
        </references>
      </pivotArea>
    </format>
    <format dxfId="764">
      <pivotArea collapsedLevelsAreSubtotals="1" fieldPosition="0">
        <references count="3">
          <reference field="0" count="1" selected="0">
            <x v="0"/>
          </reference>
          <reference field="3" count="1">
            <x v="7"/>
          </reference>
          <reference field="5" count="1" selected="0">
            <x v="0"/>
          </reference>
        </references>
      </pivotArea>
    </format>
    <format dxfId="763">
      <pivotArea collapsedLevelsAreSubtotals="1" fieldPosition="0">
        <references count="3">
          <reference field="0" count="1" selected="0">
            <x v="0"/>
          </reference>
          <reference field="3" count="1">
            <x v="9"/>
          </reference>
          <reference field="5" count="1" selected="0">
            <x v="0"/>
          </reference>
        </references>
      </pivotArea>
    </format>
    <format dxfId="762">
      <pivotArea collapsedLevelsAreSubtotals="1" fieldPosition="0">
        <references count="3">
          <reference field="0" count="1" selected="0">
            <x v="0"/>
          </reference>
          <reference field="3" count="1">
            <x v="10"/>
          </reference>
          <reference field="5" count="1" selected="0">
            <x v="0"/>
          </reference>
        </references>
      </pivotArea>
    </format>
    <format dxfId="761">
      <pivotArea collapsedLevelsAreSubtotals="1" fieldPosition="0">
        <references count="3">
          <reference field="0" count="1" selected="0">
            <x v="0"/>
          </reference>
          <reference field="3" count="1">
            <x v="11"/>
          </reference>
          <reference field="5" count="1" selected="0">
            <x v="0"/>
          </reference>
        </references>
      </pivotArea>
    </format>
    <format dxfId="760">
      <pivotArea collapsedLevelsAreSubtotals="1" fieldPosition="0">
        <references count="3">
          <reference field="0" count="1" selected="0">
            <x v="0"/>
          </reference>
          <reference field="3" count="1">
            <x v="12"/>
          </reference>
          <reference field="5" count="1" selected="0">
            <x v="0"/>
          </reference>
        </references>
      </pivotArea>
    </format>
    <format dxfId="759">
      <pivotArea collapsedLevelsAreSubtotals="1" fieldPosition="0">
        <references count="3">
          <reference field="0" count="1" selected="0">
            <x v="0"/>
          </reference>
          <reference field="3" count="1">
            <x v="13"/>
          </reference>
          <reference field="5" count="1" selected="0">
            <x v="0"/>
          </reference>
        </references>
      </pivotArea>
    </format>
    <format dxfId="758">
      <pivotArea collapsedLevelsAreSubtotals="1" fieldPosition="0">
        <references count="3">
          <reference field="0" count="1" selected="0">
            <x v="0"/>
          </reference>
          <reference field="3" count="1">
            <x v="15"/>
          </reference>
          <reference field="5" count="1" selected="0">
            <x v="0"/>
          </reference>
        </references>
      </pivotArea>
    </format>
    <format dxfId="757">
      <pivotArea collapsedLevelsAreSubtotals="1" fieldPosition="0">
        <references count="3">
          <reference field="0" count="1" selected="0">
            <x v="0"/>
          </reference>
          <reference field="3" count="1">
            <x v="17"/>
          </reference>
          <reference field="5" count="1" selected="0">
            <x v="0"/>
          </reference>
        </references>
      </pivotArea>
    </format>
    <format dxfId="756">
      <pivotArea collapsedLevelsAreSubtotals="1" fieldPosition="0">
        <references count="3">
          <reference field="0" count="1" selected="0">
            <x v="0"/>
          </reference>
          <reference field="3" count="1">
            <x v="20"/>
          </reference>
          <reference field="5" count="1" selected="0">
            <x v="0"/>
          </reference>
        </references>
      </pivotArea>
    </format>
    <format dxfId="755">
      <pivotArea collapsedLevelsAreSubtotals="1" fieldPosition="0">
        <references count="3">
          <reference field="0" count="1" selected="0">
            <x v="0"/>
          </reference>
          <reference field="3" count="1">
            <x v="22"/>
          </reference>
          <reference field="5" count="1" selected="0">
            <x v="0"/>
          </reference>
        </references>
      </pivotArea>
    </format>
    <format dxfId="754">
      <pivotArea collapsedLevelsAreSubtotals="1" fieldPosition="0">
        <references count="3">
          <reference field="0" count="1" selected="0">
            <x v="0"/>
          </reference>
          <reference field="3" count="1">
            <x v="24"/>
          </reference>
          <reference field="5" count="1" selected="0">
            <x v="0"/>
          </reference>
        </references>
      </pivotArea>
    </format>
    <format dxfId="753">
      <pivotArea collapsedLevelsAreSubtotals="1" fieldPosition="0">
        <references count="3">
          <reference field="0" count="1" selected="0">
            <x v="0"/>
          </reference>
          <reference field="3" count="1">
            <x v="26"/>
          </reference>
          <reference field="5" count="1" selected="0">
            <x v="0"/>
          </reference>
        </references>
      </pivotArea>
    </format>
    <format dxfId="752">
      <pivotArea collapsedLevelsAreSubtotals="1" fieldPosition="0">
        <references count="3">
          <reference field="0" count="1" selected="0">
            <x v="0"/>
          </reference>
          <reference field="3" count="1">
            <x v="28"/>
          </reference>
          <reference field="5" count="1" selected="0">
            <x v="0"/>
          </reference>
        </references>
      </pivotArea>
    </format>
    <format dxfId="751">
      <pivotArea collapsedLevelsAreSubtotals="1" fieldPosition="0">
        <references count="3">
          <reference field="0" count="1" selected="0">
            <x v="0"/>
          </reference>
          <reference field="3" count="1">
            <x v="30"/>
          </reference>
          <reference field="5" count="1" selected="0">
            <x v="0"/>
          </reference>
        </references>
      </pivotArea>
    </format>
    <format dxfId="750">
      <pivotArea collapsedLevelsAreSubtotals="1" fieldPosition="0">
        <references count="3">
          <reference field="0" count="1" selected="0">
            <x v="1"/>
          </reference>
          <reference field="3" count="1">
            <x v="19"/>
          </reference>
          <reference field="5" count="1" selected="0">
            <x v="0"/>
          </reference>
        </references>
      </pivotArea>
    </format>
    <format dxfId="749">
      <pivotArea collapsedLevelsAreSubtotals="1" fieldPosition="0">
        <references count="2">
          <reference field="0" count="1">
            <x v="2"/>
          </reference>
          <reference field="5" count="1" selected="0">
            <x v="0"/>
          </reference>
        </references>
      </pivotArea>
    </format>
    <format dxfId="748">
      <pivotArea collapsedLevelsAreSubtotals="1" fieldPosition="0">
        <references count="3">
          <reference field="0" count="1" selected="0">
            <x v="0"/>
          </reference>
          <reference field="3" count="1">
            <x v="1"/>
          </reference>
          <reference field="5" count="1" selected="0">
            <x v="0"/>
          </reference>
        </references>
      </pivotArea>
    </format>
    <format dxfId="747">
      <pivotArea collapsedLevelsAreSubtotals="1" fieldPosition="0">
        <references count="3">
          <reference field="0" count="1" selected="0">
            <x v="0"/>
          </reference>
          <reference field="3" count="1">
            <x v="3"/>
          </reference>
          <reference field="5" count="1" selected="0">
            <x v="0"/>
          </reference>
        </references>
      </pivotArea>
    </format>
    <format dxfId="746">
      <pivotArea collapsedLevelsAreSubtotals="1" fieldPosition="0">
        <references count="3">
          <reference field="0" count="1" selected="0">
            <x v="0"/>
          </reference>
          <reference field="3" count="1">
            <x v="5"/>
          </reference>
          <reference field="5" count="1" selected="0">
            <x v="0"/>
          </reference>
        </references>
      </pivotArea>
    </format>
    <format dxfId="745">
      <pivotArea collapsedLevelsAreSubtotals="1" fieldPosition="0">
        <references count="3">
          <reference field="0" count="1" selected="0">
            <x v="0"/>
          </reference>
          <reference field="3" count="1">
            <x v="8"/>
          </reference>
          <reference field="5" count="1" selected="0">
            <x v="0"/>
          </reference>
        </references>
      </pivotArea>
    </format>
    <format dxfId="744">
      <pivotArea collapsedLevelsAreSubtotals="1" fieldPosition="0">
        <references count="3">
          <reference field="0" count="1" selected="0">
            <x v="0"/>
          </reference>
          <reference field="3" count="1">
            <x v="10"/>
          </reference>
          <reference field="5" count="1" selected="0">
            <x v="0"/>
          </reference>
        </references>
      </pivotArea>
    </format>
    <format dxfId="743">
      <pivotArea collapsedLevelsAreSubtotals="1" fieldPosition="0">
        <references count="3">
          <reference field="0" count="1" selected="0">
            <x v="0"/>
          </reference>
          <reference field="3" count="1">
            <x v="12"/>
          </reference>
          <reference field="5" count="1" selected="0">
            <x v="0"/>
          </reference>
        </references>
      </pivotArea>
    </format>
    <format dxfId="742">
      <pivotArea collapsedLevelsAreSubtotals="1" fieldPosition="0">
        <references count="3">
          <reference field="0" count="1" selected="0">
            <x v="0"/>
          </reference>
          <reference field="3" count="1">
            <x v="14"/>
          </reference>
          <reference field="5" count="1" selected="0">
            <x v="0"/>
          </reference>
        </references>
      </pivotArea>
    </format>
    <format dxfId="741">
      <pivotArea collapsedLevelsAreSubtotals="1" fieldPosition="0">
        <references count="3">
          <reference field="0" count="1" selected="0">
            <x v="0"/>
          </reference>
          <reference field="3" count="1">
            <x v="16"/>
          </reference>
          <reference field="5" count="1" selected="0">
            <x v="0"/>
          </reference>
        </references>
      </pivotArea>
    </format>
    <format dxfId="740">
      <pivotArea collapsedLevelsAreSubtotals="1" fieldPosition="0">
        <references count="3">
          <reference field="0" count="1" selected="0">
            <x v="0"/>
          </reference>
          <reference field="3" count="1">
            <x v="18"/>
          </reference>
          <reference field="5" count="1" selected="0">
            <x v="0"/>
          </reference>
        </references>
      </pivotArea>
    </format>
    <format dxfId="739">
      <pivotArea collapsedLevelsAreSubtotals="1" fieldPosition="0">
        <references count="3">
          <reference field="0" count="1" selected="0">
            <x v="0"/>
          </reference>
          <reference field="3" count="1">
            <x v="21"/>
          </reference>
          <reference field="5" count="1" selected="0">
            <x v="0"/>
          </reference>
        </references>
      </pivotArea>
    </format>
    <format dxfId="738">
      <pivotArea collapsedLevelsAreSubtotals="1" fieldPosition="0">
        <references count="3">
          <reference field="0" count="1" selected="0">
            <x v="0"/>
          </reference>
          <reference field="3" count="1">
            <x v="23"/>
          </reference>
          <reference field="5" count="1" selected="0">
            <x v="0"/>
          </reference>
        </references>
      </pivotArea>
    </format>
    <format dxfId="737">
      <pivotArea collapsedLevelsAreSubtotals="1" fieldPosition="0">
        <references count="3">
          <reference field="0" count="1" selected="0">
            <x v="0"/>
          </reference>
          <reference field="3" count="1">
            <x v="25"/>
          </reference>
          <reference field="5" count="1" selected="0">
            <x v="0"/>
          </reference>
        </references>
      </pivotArea>
    </format>
    <format dxfId="736">
      <pivotArea collapsedLevelsAreSubtotals="1" fieldPosition="0">
        <references count="3">
          <reference field="0" count="1" selected="0">
            <x v="0"/>
          </reference>
          <reference field="3" count="1">
            <x v="27"/>
          </reference>
          <reference field="5" count="1" selected="0">
            <x v="0"/>
          </reference>
        </references>
      </pivotArea>
    </format>
    <format dxfId="735">
      <pivotArea collapsedLevelsAreSubtotals="1" fieldPosition="0">
        <references count="3">
          <reference field="0" count="1" selected="0">
            <x v="0"/>
          </reference>
          <reference field="3" count="1">
            <x v="29"/>
          </reference>
          <reference field="5" count="1" selected="0">
            <x v="0"/>
          </reference>
        </references>
      </pivotArea>
    </format>
    <format dxfId="734">
      <pivotArea collapsedLevelsAreSubtotals="1" fieldPosition="0">
        <references count="3">
          <reference field="0" count="1" selected="0">
            <x v="0"/>
          </reference>
          <reference field="3" count="1">
            <x v="31"/>
          </reference>
          <reference field="5" count="1" selected="0">
            <x v="0"/>
          </reference>
        </references>
      </pivotArea>
    </format>
    <format dxfId="733">
      <pivotArea collapsedLevelsAreSubtotals="1" fieldPosition="0">
        <references count="3">
          <reference field="0" count="1" selected="0">
            <x v="1"/>
          </reference>
          <reference field="3" count="1">
            <x v="6"/>
          </reference>
          <reference field="5" count="1" selected="0">
            <x v="0"/>
          </reference>
        </references>
      </pivotArea>
    </format>
    <format dxfId="732">
      <pivotArea collapsedLevelsAreSubtotals="1" fieldPosition="0">
        <references count="3">
          <reference field="0" count="1" selected="0">
            <x v="1"/>
          </reference>
          <reference field="3" count="1">
            <x v="33"/>
          </reference>
          <reference field="5" count="1" selected="0">
            <x v="0"/>
          </reference>
        </references>
      </pivotArea>
    </format>
    <format dxfId="731">
      <pivotArea collapsedLevelsAreSubtotals="1" fieldPosition="0">
        <references count="3">
          <reference field="0" count="1" selected="0">
            <x v="2"/>
          </reference>
          <reference field="3" count="1">
            <x v="32"/>
          </reference>
          <reference field="5" count="1" selected="0">
            <x v="0"/>
          </reference>
        </references>
      </pivotArea>
    </format>
    <format dxfId="730">
      <pivotArea collapsedLevelsAreSubtotals="1" fieldPosition="0">
        <references count="2">
          <reference field="0" count="1">
            <x v="1"/>
          </reference>
          <reference field="5" count="1" selected="0">
            <x v="0"/>
          </reference>
        </references>
      </pivotArea>
    </format>
    <format dxfId="729">
      <pivotArea collapsedLevelsAreSubtotals="1" fieldPosition="0">
        <references count="2">
          <reference field="0" count="1">
            <x v="1"/>
          </reference>
          <reference field="5" count="1" selected="0">
            <x v="0"/>
          </reference>
        </references>
      </pivotArea>
    </format>
    <format dxfId="728">
      <pivotArea outline="0" fieldPosition="0">
        <references count="1">
          <reference field="4294967294" count="1">
            <x v="0"/>
          </reference>
        </references>
      </pivotArea>
    </format>
    <format dxfId="727">
      <pivotArea collapsedLevelsAreSubtotals="1" fieldPosition="0">
        <references count="2">
          <reference field="0" count="1">
            <x v="0"/>
          </reference>
          <reference field="5" count="1" selected="0">
            <x v="0"/>
          </reference>
        </references>
      </pivotArea>
    </format>
    <format dxfId="726">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0"/>
          </reference>
        </references>
      </pivotArea>
    </format>
    <format dxfId="725">
      <pivotArea collapsedLevelsAreSubtotals="1" fieldPosition="0">
        <references count="2">
          <reference field="0" count="1">
            <x v="1"/>
          </reference>
          <reference field="5" count="1" selected="0">
            <x v="0"/>
          </reference>
        </references>
      </pivotArea>
    </format>
    <format dxfId="724">
      <pivotArea collapsedLevelsAreSubtotals="1" fieldPosition="0">
        <references count="3">
          <reference field="0" count="1" selected="0">
            <x v="1"/>
          </reference>
          <reference field="3" count="3">
            <x v="6"/>
            <x v="19"/>
            <x v="33"/>
          </reference>
          <reference field="5" count="1" selected="0">
            <x v="0"/>
          </reference>
        </references>
      </pivotArea>
    </format>
    <format dxfId="723">
      <pivotArea dataOnly="0" labelOnly="1" fieldPosition="0">
        <references count="1">
          <reference field="5" count="1">
            <x v="0"/>
          </reference>
        </references>
      </pivotArea>
    </format>
    <format dxfId="722">
      <pivotArea dataOnly="0" labelOnly="1" fieldPosition="0">
        <references count="1">
          <reference field="5" count="1">
            <x v="1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1A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Suma de servtec" fld="34" baseField="3" baseItem="1" numFmtId="3"/>
  </dataFields>
  <formats count="36">
    <format dxfId="717">
      <pivotArea type="all" dataOnly="0" outline="0" fieldPosition="0"/>
    </format>
    <format dxfId="716">
      <pivotArea outline="0" collapsedLevelsAreSubtotals="1" fieldPosition="0"/>
    </format>
    <format dxfId="715">
      <pivotArea type="origin" dataOnly="0" labelOnly="1" outline="0" fieldPosition="0"/>
    </format>
    <format dxfId="714">
      <pivotArea field="5" type="button" dataOnly="0" labelOnly="1" outline="0" axis="axisCol" fieldPosition="0"/>
    </format>
    <format dxfId="713">
      <pivotArea type="topRight" dataOnly="0" labelOnly="1" outline="0" fieldPosition="0"/>
    </format>
    <format dxfId="712">
      <pivotArea field="3" type="button" dataOnly="0" labelOnly="1" outline="0" axis="axisRow" fieldPosition="1"/>
    </format>
    <format dxfId="711">
      <pivotArea dataOnly="0" labelOnly="1" fieldPosition="0">
        <references count="1">
          <reference field="3" count="0"/>
        </references>
      </pivotArea>
    </format>
    <format dxfId="710">
      <pivotArea dataOnly="0" labelOnly="1" grandRow="1" outline="0" fieldPosition="0"/>
    </format>
    <format dxfId="709">
      <pivotArea dataOnly="0" labelOnly="1" fieldPosition="0">
        <references count="1">
          <reference field="5" count="0"/>
        </references>
      </pivotArea>
    </format>
    <format dxfId="708">
      <pivotArea type="all" dataOnly="0" outline="0" fieldPosition="0"/>
    </format>
    <format dxfId="707">
      <pivotArea outline="0" collapsedLevelsAreSubtotals="1" fieldPosition="0"/>
    </format>
    <format dxfId="706">
      <pivotArea type="origin" dataOnly="0" labelOnly="1" outline="0" fieldPosition="0"/>
    </format>
    <format dxfId="705">
      <pivotArea field="5" type="button" dataOnly="0" labelOnly="1" outline="0" axis="axisCol" fieldPosition="0"/>
    </format>
    <format dxfId="704">
      <pivotArea type="topRight" dataOnly="0" labelOnly="1" outline="0" fieldPosition="0"/>
    </format>
    <format dxfId="703">
      <pivotArea field="3" type="button" dataOnly="0" labelOnly="1" outline="0" axis="axisRow" fieldPosition="1"/>
    </format>
    <format dxfId="702">
      <pivotArea dataOnly="0" labelOnly="1" fieldPosition="0">
        <references count="1">
          <reference field="3" count="0"/>
        </references>
      </pivotArea>
    </format>
    <format dxfId="701">
      <pivotArea dataOnly="0" labelOnly="1" grandRow="1" outline="0" fieldPosition="0"/>
    </format>
    <format dxfId="700">
      <pivotArea dataOnly="0" labelOnly="1" fieldPosition="0">
        <references count="1">
          <reference field="5" count="0"/>
        </references>
      </pivotArea>
    </format>
    <format dxfId="699">
      <pivotArea type="all" dataOnly="0" outline="0" fieldPosition="0"/>
    </format>
    <format dxfId="698">
      <pivotArea outline="0" collapsedLevelsAreSubtotals="1" fieldPosition="0"/>
    </format>
    <format dxfId="697">
      <pivotArea type="origin" dataOnly="0" labelOnly="1" outline="0" fieldPosition="0"/>
    </format>
    <format dxfId="696">
      <pivotArea field="5" type="button" dataOnly="0" labelOnly="1" outline="0" axis="axisCol" fieldPosition="0"/>
    </format>
    <format dxfId="695">
      <pivotArea type="topRight" dataOnly="0" labelOnly="1" outline="0" fieldPosition="0"/>
    </format>
    <format dxfId="694">
      <pivotArea field="0" type="button" dataOnly="0" labelOnly="1" outline="0" axis="axisRow" fieldPosition="0"/>
    </format>
    <format dxfId="693">
      <pivotArea dataOnly="0" labelOnly="1" fieldPosition="0">
        <references count="1">
          <reference field="0" count="0"/>
        </references>
      </pivotArea>
    </format>
    <format dxfId="692">
      <pivotArea dataOnly="0" labelOnly="1" grandRow="1" outline="0" fieldPosition="0"/>
    </format>
    <format dxfId="691">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690">
      <pivotArea dataOnly="0" labelOnly="1" fieldPosition="0">
        <references count="2">
          <reference field="0" count="1" selected="0">
            <x v="1"/>
          </reference>
          <reference field="3" count="2">
            <x v="6"/>
            <x v="19"/>
          </reference>
        </references>
      </pivotArea>
    </format>
    <format dxfId="689">
      <pivotArea dataOnly="0" labelOnly="1" fieldPosition="0">
        <references count="1">
          <reference field="5" count="0"/>
        </references>
      </pivotArea>
    </format>
    <format dxfId="688">
      <pivotArea type="origin" dataOnly="0" labelOnly="1" outline="0" fieldPosition="0"/>
    </format>
    <format dxfId="687">
      <pivotArea collapsedLevelsAreSubtotals="1" fieldPosition="0">
        <references count="1">
          <reference field="0" count="1">
            <x v="1"/>
          </reference>
        </references>
      </pivotArea>
    </format>
    <format dxfId="686">
      <pivotArea collapsedLevelsAreSubtotals="1" fieldPosition="0">
        <references count="1">
          <reference field="0" count="1">
            <x v="1"/>
          </reference>
        </references>
      </pivotArea>
    </format>
    <format dxfId="685">
      <pivotArea collapsedLevelsAreSubtotals="1" fieldPosition="0">
        <references count="1">
          <reference field="0" count="1">
            <x v="1"/>
          </reference>
        </references>
      </pivotArea>
    </format>
    <format dxfId="684">
      <pivotArea outline="0" fieldPosition="0">
        <references count="1">
          <reference field="4294967294" count="1">
            <x v="0"/>
          </reference>
        </references>
      </pivotArea>
    </format>
    <format dxfId="683">
      <pivotArea field="0" type="button" dataOnly="0" labelOnly="1" outline="0" axis="axisRow" fieldPosition="0"/>
    </format>
    <format dxfId="682">
      <pivotArea dataOnly="0" labelOnly="1" fieldPosition="0">
        <references count="1">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1B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6:F55"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Suma de evaluacion" fld="32" baseField="0" baseItem="0"/>
  </dataFields>
  <formats count="82">
    <format dxfId="677">
      <pivotArea type="all" dataOnly="0" outline="0" fieldPosition="0"/>
    </format>
    <format dxfId="676">
      <pivotArea outline="0" collapsedLevelsAreSubtotals="1" fieldPosition="0"/>
    </format>
    <format dxfId="675">
      <pivotArea type="origin" dataOnly="0" labelOnly="1" outline="0" fieldPosition="0"/>
    </format>
    <format dxfId="674">
      <pivotArea field="5" type="button" dataOnly="0" labelOnly="1" outline="0" axis="axisCol" fieldPosition="0"/>
    </format>
    <format dxfId="673">
      <pivotArea type="topRight" dataOnly="0" labelOnly="1" outline="0" fieldPosition="0"/>
    </format>
    <format dxfId="672">
      <pivotArea field="3" type="button" dataOnly="0" labelOnly="1" outline="0" axis="axisRow" fieldPosition="1"/>
    </format>
    <format dxfId="671">
      <pivotArea dataOnly="0" labelOnly="1" fieldPosition="0">
        <references count="1">
          <reference field="3" count="0"/>
        </references>
      </pivotArea>
    </format>
    <format dxfId="670">
      <pivotArea dataOnly="0" labelOnly="1" grandRow="1" outline="0" fieldPosition="0"/>
    </format>
    <format dxfId="669">
      <pivotArea dataOnly="0" labelOnly="1" fieldPosition="0">
        <references count="1">
          <reference field="5" count="0"/>
        </references>
      </pivotArea>
    </format>
    <format dxfId="668">
      <pivotArea type="all" dataOnly="0" outline="0" fieldPosition="0"/>
    </format>
    <format dxfId="667">
      <pivotArea outline="0" collapsedLevelsAreSubtotals="1" fieldPosition="0"/>
    </format>
    <format dxfId="666">
      <pivotArea type="origin" dataOnly="0" labelOnly="1" outline="0" fieldPosition="0"/>
    </format>
    <format dxfId="665">
      <pivotArea field="5" type="button" dataOnly="0" labelOnly="1" outline="0" axis="axisCol" fieldPosition="0"/>
    </format>
    <format dxfId="664">
      <pivotArea type="topRight" dataOnly="0" labelOnly="1" outline="0" fieldPosition="0"/>
    </format>
    <format dxfId="663">
      <pivotArea field="3" type="button" dataOnly="0" labelOnly="1" outline="0" axis="axisRow" fieldPosition="1"/>
    </format>
    <format dxfId="662">
      <pivotArea dataOnly="0" labelOnly="1" fieldPosition="0">
        <references count="1">
          <reference field="3" count="0"/>
        </references>
      </pivotArea>
    </format>
    <format dxfId="661">
      <pivotArea dataOnly="0" labelOnly="1" grandRow="1" outline="0" fieldPosition="0"/>
    </format>
    <format dxfId="660">
      <pivotArea dataOnly="0" labelOnly="1" fieldPosition="0">
        <references count="1">
          <reference field="5" count="0"/>
        </references>
      </pivotArea>
    </format>
    <format dxfId="659">
      <pivotArea type="all" dataOnly="0" outline="0" fieldPosition="0"/>
    </format>
    <format dxfId="658">
      <pivotArea outline="0" collapsedLevelsAreSubtotals="1" fieldPosition="0"/>
    </format>
    <format dxfId="657">
      <pivotArea type="origin" dataOnly="0" labelOnly="1" outline="0" fieldPosition="0"/>
    </format>
    <format dxfId="656">
      <pivotArea field="5" type="button" dataOnly="0" labelOnly="1" outline="0" axis="axisCol" fieldPosition="0"/>
    </format>
    <format dxfId="655">
      <pivotArea type="topRight" dataOnly="0" labelOnly="1" outline="0" fieldPosition="0"/>
    </format>
    <format dxfId="654">
      <pivotArea field="0" type="button" dataOnly="0" labelOnly="1" outline="0" axis="axisRow" fieldPosition="0"/>
    </format>
    <format dxfId="653">
      <pivotArea dataOnly="0" labelOnly="1" fieldPosition="0">
        <references count="1">
          <reference field="0" count="0"/>
        </references>
      </pivotArea>
    </format>
    <format dxfId="652">
      <pivotArea dataOnly="0" labelOnly="1" grandRow="1" outline="0" fieldPosition="0"/>
    </format>
    <format dxfId="651">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650">
      <pivotArea dataOnly="0" labelOnly="1" fieldPosition="0">
        <references count="2">
          <reference field="0" count="1" selected="0">
            <x v="1"/>
          </reference>
          <reference field="3" count="2">
            <x v="6"/>
            <x v="19"/>
          </reference>
        </references>
      </pivotArea>
    </format>
    <format dxfId="649">
      <pivotArea dataOnly="0" labelOnly="1" fieldPosition="0">
        <references count="1">
          <reference field="5" count="0"/>
        </references>
      </pivotArea>
    </format>
    <format dxfId="648">
      <pivotArea type="origin" dataOnly="0" labelOnly="1" outline="0" fieldPosition="0"/>
    </format>
    <format dxfId="647">
      <pivotArea collapsedLevelsAreSubtotals="1" fieldPosition="0">
        <references count="1">
          <reference field="0" count="1">
            <x v="1"/>
          </reference>
        </references>
      </pivotArea>
    </format>
    <format dxfId="646">
      <pivotArea collapsedLevelsAreSubtotals="1" fieldPosition="0">
        <references count="1">
          <reference field="0" count="1">
            <x v="1"/>
          </reference>
        </references>
      </pivotArea>
    </format>
    <format dxfId="645">
      <pivotArea collapsedLevelsAreSubtotals="1" fieldPosition="0">
        <references count="1">
          <reference field="0" count="1">
            <x v="1"/>
          </reference>
        </references>
      </pivotArea>
    </format>
    <format dxfId="644">
      <pivotArea dataOnly="0" labelOnly="1" fieldPosition="0">
        <references count="1">
          <reference field="5" count="1">
            <x v="0"/>
          </reference>
        </references>
      </pivotArea>
    </format>
    <format dxfId="643">
      <pivotArea collapsedLevelsAreSubtotals="1" fieldPosition="0">
        <references count="2">
          <reference field="0" count="1">
            <x v="0"/>
          </reference>
          <reference field="5" count="1" selected="0">
            <x v="0"/>
          </reference>
        </references>
      </pivotArea>
    </format>
    <format dxfId="642">
      <pivotArea collapsedLevelsAreSubtotals="1" fieldPosition="0">
        <references count="3">
          <reference field="0" count="1" selected="0">
            <x v="0"/>
          </reference>
          <reference field="3" count="1">
            <x v="0"/>
          </reference>
          <reference field="5" count="1" selected="0">
            <x v="0"/>
          </reference>
        </references>
      </pivotArea>
    </format>
    <format dxfId="641">
      <pivotArea collapsedLevelsAreSubtotals="1" fieldPosition="0">
        <references count="3">
          <reference field="0" count="1" selected="0">
            <x v="0"/>
          </reference>
          <reference field="3" count="1">
            <x v="2"/>
          </reference>
          <reference field="5" count="1" selected="0">
            <x v="0"/>
          </reference>
        </references>
      </pivotArea>
    </format>
    <format dxfId="640">
      <pivotArea collapsedLevelsAreSubtotals="1" fieldPosition="0">
        <references count="3">
          <reference field="0" count="1" selected="0">
            <x v="0"/>
          </reference>
          <reference field="3" count="1">
            <x v="4"/>
          </reference>
          <reference field="5" count="1" selected="0">
            <x v="0"/>
          </reference>
        </references>
      </pivotArea>
    </format>
    <format dxfId="639">
      <pivotArea collapsedLevelsAreSubtotals="1" fieldPosition="0">
        <references count="3">
          <reference field="0" count="1" selected="0">
            <x v="0"/>
          </reference>
          <reference field="3" count="1">
            <x v="7"/>
          </reference>
          <reference field="5" count="1" selected="0">
            <x v="0"/>
          </reference>
        </references>
      </pivotArea>
    </format>
    <format dxfId="638">
      <pivotArea collapsedLevelsAreSubtotals="1" fieldPosition="0">
        <references count="3">
          <reference field="0" count="1" selected="0">
            <x v="0"/>
          </reference>
          <reference field="3" count="1">
            <x v="9"/>
          </reference>
          <reference field="5" count="1" selected="0">
            <x v="0"/>
          </reference>
        </references>
      </pivotArea>
    </format>
    <format dxfId="637">
      <pivotArea collapsedLevelsAreSubtotals="1" fieldPosition="0">
        <references count="3">
          <reference field="0" count="1" selected="0">
            <x v="0"/>
          </reference>
          <reference field="3" count="1">
            <x v="10"/>
          </reference>
          <reference field="5" count="1" selected="0">
            <x v="0"/>
          </reference>
        </references>
      </pivotArea>
    </format>
    <format dxfId="636">
      <pivotArea collapsedLevelsAreSubtotals="1" fieldPosition="0">
        <references count="3">
          <reference field="0" count="1" selected="0">
            <x v="0"/>
          </reference>
          <reference field="3" count="1">
            <x v="11"/>
          </reference>
          <reference field="5" count="1" selected="0">
            <x v="0"/>
          </reference>
        </references>
      </pivotArea>
    </format>
    <format dxfId="635">
      <pivotArea collapsedLevelsAreSubtotals="1" fieldPosition="0">
        <references count="3">
          <reference field="0" count="1" selected="0">
            <x v="0"/>
          </reference>
          <reference field="3" count="1">
            <x v="12"/>
          </reference>
          <reference field="5" count="1" selected="0">
            <x v="0"/>
          </reference>
        </references>
      </pivotArea>
    </format>
    <format dxfId="634">
      <pivotArea collapsedLevelsAreSubtotals="1" fieldPosition="0">
        <references count="3">
          <reference field="0" count="1" selected="0">
            <x v="0"/>
          </reference>
          <reference field="3" count="1">
            <x v="13"/>
          </reference>
          <reference field="5" count="1" selected="0">
            <x v="0"/>
          </reference>
        </references>
      </pivotArea>
    </format>
    <format dxfId="633">
      <pivotArea collapsedLevelsAreSubtotals="1" fieldPosition="0">
        <references count="3">
          <reference field="0" count="1" selected="0">
            <x v="0"/>
          </reference>
          <reference field="3" count="1">
            <x v="15"/>
          </reference>
          <reference field="5" count="1" selected="0">
            <x v="0"/>
          </reference>
        </references>
      </pivotArea>
    </format>
    <format dxfId="632">
      <pivotArea collapsedLevelsAreSubtotals="1" fieldPosition="0">
        <references count="3">
          <reference field="0" count="1" selected="0">
            <x v="0"/>
          </reference>
          <reference field="3" count="1">
            <x v="17"/>
          </reference>
          <reference field="5" count="1" selected="0">
            <x v="0"/>
          </reference>
        </references>
      </pivotArea>
    </format>
    <format dxfId="631">
      <pivotArea collapsedLevelsAreSubtotals="1" fieldPosition="0">
        <references count="3">
          <reference field="0" count="1" selected="0">
            <x v="0"/>
          </reference>
          <reference field="3" count="1">
            <x v="20"/>
          </reference>
          <reference field="5" count="1" selected="0">
            <x v="0"/>
          </reference>
        </references>
      </pivotArea>
    </format>
    <format dxfId="630">
      <pivotArea collapsedLevelsAreSubtotals="1" fieldPosition="0">
        <references count="3">
          <reference field="0" count="1" selected="0">
            <x v="0"/>
          </reference>
          <reference field="3" count="1">
            <x v="22"/>
          </reference>
          <reference field="5" count="1" selected="0">
            <x v="0"/>
          </reference>
        </references>
      </pivotArea>
    </format>
    <format dxfId="629">
      <pivotArea collapsedLevelsAreSubtotals="1" fieldPosition="0">
        <references count="3">
          <reference field="0" count="1" selected="0">
            <x v="0"/>
          </reference>
          <reference field="3" count="1">
            <x v="24"/>
          </reference>
          <reference field="5" count="1" selected="0">
            <x v="0"/>
          </reference>
        </references>
      </pivotArea>
    </format>
    <format dxfId="628">
      <pivotArea collapsedLevelsAreSubtotals="1" fieldPosition="0">
        <references count="3">
          <reference field="0" count="1" selected="0">
            <x v="0"/>
          </reference>
          <reference field="3" count="1">
            <x v="26"/>
          </reference>
          <reference field="5" count="1" selected="0">
            <x v="0"/>
          </reference>
        </references>
      </pivotArea>
    </format>
    <format dxfId="627">
      <pivotArea collapsedLevelsAreSubtotals="1" fieldPosition="0">
        <references count="3">
          <reference field="0" count="1" selected="0">
            <x v="0"/>
          </reference>
          <reference field="3" count="1">
            <x v="28"/>
          </reference>
          <reference field="5" count="1" selected="0">
            <x v="0"/>
          </reference>
        </references>
      </pivotArea>
    </format>
    <format dxfId="626">
      <pivotArea collapsedLevelsAreSubtotals="1" fieldPosition="0">
        <references count="3">
          <reference field="0" count="1" selected="0">
            <x v="0"/>
          </reference>
          <reference field="3" count="1">
            <x v="30"/>
          </reference>
          <reference field="5" count="1" selected="0">
            <x v="0"/>
          </reference>
        </references>
      </pivotArea>
    </format>
    <format dxfId="625">
      <pivotArea collapsedLevelsAreSubtotals="1" fieldPosition="0">
        <references count="3">
          <reference field="0" count="1" selected="0">
            <x v="1"/>
          </reference>
          <reference field="3" count="1">
            <x v="19"/>
          </reference>
          <reference field="5" count="1" selected="0">
            <x v="0"/>
          </reference>
        </references>
      </pivotArea>
    </format>
    <format dxfId="624">
      <pivotArea collapsedLevelsAreSubtotals="1" fieldPosition="0">
        <references count="2">
          <reference field="0" count="1">
            <x v="2"/>
          </reference>
          <reference field="5" count="1" selected="0">
            <x v="0"/>
          </reference>
        </references>
      </pivotArea>
    </format>
    <format dxfId="623">
      <pivotArea collapsedLevelsAreSubtotals="1" fieldPosition="0">
        <references count="3">
          <reference field="0" count="1" selected="0">
            <x v="0"/>
          </reference>
          <reference field="3" count="1">
            <x v="1"/>
          </reference>
          <reference field="5" count="1" selected="0">
            <x v="0"/>
          </reference>
        </references>
      </pivotArea>
    </format>
    <format dxfId="622">
      <pivotArea collapsedLevelsAreSubtotals="1" fieldPosition="0">
        <references count="3">
          <reference field="0" count="1" selected="0">
            <x v="0"/>
          </reference>
          <reference field="3" count="1">
            <x v="3"/>
          </reference>
          <reference field="5" count="1" selected="0">
            <x v="0"/>
          </reference>
        </references>
      </pivotArea>
    </format>
    <format dxfId="621">
      <pivotArea collapsedLevelsAreSubtotals="1" fieldPosition="0">
        <references count="3">
          <reference field="0" count="1" selected="0">
            <x v="0"/>
          </reference>
          <reference field="3" count="1">
            <x v="5"/>
          </reference>
          <reference field="5" count="1" selected="0">
            <x v="0"/>
          </reference>
        </references>
      </pivotArea>
    </format>
    <format dxfId="620">
      <pivotArea collapsedLevelsAreSubtotals="1" fieldPosition="0">
        <references count="3">
          <reference field="0" count="1" selected="0">
            <x v="0"/>
          </reference>
          <reference field="3" count="1">
            <x v="8"/>
          </reference>
          <reference field="5" count="1" selected="0">
            <x v="0"/>
          </reference>
        </references>
      </pivotArea>
    </format>
    <format dxfId="619">
      <pivotArea collapsedLevelsAreSubtotals="1" fieldPosition="0">
        <references count="3">
          <reference field="0" count="1" selected="0">
            <x v="0"/>
          </reference>
          <reference field="3" count="1">
            <x v="10"/>
          </reference>
          <reference field="5" count="1" selected="0">
            <x v="0"/>
          </reference>
        </references>
      </pivotArea>
    </format>
    <format dxfId="618">
      <pivotArea collapsedLevelsAreSubtotals="1" fieldPosition="0">
        <references count="3">
          <reference field="0" count="1" selected="0">
            <x v="0"/>
          </reference>
          <reference field="3" count="1">
            <x v="12"/>
          </reference>
          <reference field="5" count="1" selected="0">
            <x v="0"/>
          </reference>
        </references>
      </pivotArea>
    </format>
    <format dxfId="617">
      <pivotArea collapsedLevelsAreSubtotals="1" fieldPosition="0">
        <references count="3">
          <reference field="0" count="1" selected="0">
            <x v="0"/>
          </reference>
          <reference field="3" count="1">
            <x v="14"/>
          </reference>
          <reference field="5" count="1" selected="0">
            <x v="0"/>
          </reference>
        </references>
      </pivotArea>
    </format>
    <format dxfId="616">
      <pivotArea collapsedLevelsAreSubtotals="1" fieldPosition="0">
        <references count="3">
          <reference field="0" count="1" selected="0">
            <x v="0"/>
          </reference>
          <reference field="3" count="1">
            <x v="16"/>
          </reference>
          <reference field="5" count="1" selected="0">
            <x v="0"/>
          </reference>
        </references>
      </pivotArea>
    </format>
    <format dxfId="615">
      <pivotArea collapsedLevelsAreSubtotals="1" fieldPosition="0">
        <references count="3">
          <reference field="0" count="1" selected="0">
            <x v="0"/>
          </reference>
          <reference field="3" count="1">
            <x v="18"/>
          </reference>
          <reference field="5" count="1" selected="0">
            <x v="0"/>
          </reference>
        </references>
      </pivotArea>
    </format>
    <format dxfId="614">
      <pivotArea collapsedLevelsAreSubtotals="1" fieldPosition="0">
        <references count="3">
          <reference field="0" count="1" selected="0">
            <x v="0"/>
          </reference>
          <reference field="3" count="1">
            <x v="21"/>
          </reference>
          <reference field="5" count="1" selected="0">
            <x v="0"/>
          </reference>
        </references>
      </pivotArea>
    </format>
    <format dxfId="613">
      <pivotArea collapsedLevelsAreSubtotals="1" fieldPosition="0">
        <references count="3">
          <reference field="0" count="1" selected="0">
            <x v="0"/>
          </reference>
          <reference field="3" count="1">
            <x v="23"/>
          </reference>
          <reference field="5" count="1" selected="0">
            <x v="0"/>
          </reference>
        </references>
      </pivotArea>
    </format>
    <format dxfId="612">
      <pivotArea collapsedLevelsAreSubtotals="1" fieldPosition="0">
        <references count="3">
          <reference field="0" count="1" selected="0">
            <x v="0"/>
          </reference>
          <reference field="3" count="1">
            <x v="25"/>
          </reference>
          <reference field="5" count="1" selected="0">
            <x v="0"/>
          </reference>
        </references>
      </pivotArea>
    </format>
    <format dxfId="611">
      <pivotArea collapsedLevelsAreSubtotals="1" fieldPosition="0">
        <references count="3">
          <reference field="0" count="1" selected="0">
            <x v="0"/>
          </reference>
          <reference field="3" count="1">
            <x v="27"/>
          </reference>
          <reference field="5" count="1" selected="0">
            <x v="0"/>
          </reference>
        </references>
      </pivotArea>
    </format>
    <format dxfId="610">
      <pivotArea collapsedLevelsAreSubtotals="1" fieldPosition="0">
        <references count="3">
          <reference field="0" count="1" selected="0">
            <x v="0"/>
          </reference>
          <reference field="3" count="1">
            <x v="29"/>
          </reference>
          <reference field="5" count="1" selected="0">
            <x v="0"/>
          </reference>
        </references>
      </pivotArea>
    </format>
    <format dxfId="609">
      <pivotArea collapsedLevelsAreSubtotals="1" fieldPosition="0">
        <references count="3">
          <reference field="0" count="1" selected="0">
            <x v="0"/>
          </reference>
          <reference field="3" count="1">
            <x v="31"/>
          </reference>
          <reference field="5" count="1" selected="0">
            <x v="0"/>
          </reference>
        </references>
      </pivotArea>
    </format>
    <format dxfId="608">
      <pivotArea collapsedLevelsAreSubtotals="1" fieldPosition="0">
        <references count="3">
          <reference field="0" count="1" selected="0">
            <x v="1"/>
          </reference>
          <reference field="3" count="1">
            <x v="6"/>
          </reference>
          <reference field="5" count="1" selected="0">
            <x v="0"/>
          </reference>
        </references>
      </pivotArea>
    </format>
    <format dxfId="607">
      <pivotArea collapsedLevelsAreSubtotals="1" fieldPosition="0">
        <references count="3">
          <reference field="0" count="1" selected="0">
            <x v="1"/>
          </reference>
          <reference field="3" count="1">
            <x v="33"/>
          </reference>
          <reference field="5" count="1" selected="0">
            <x v="0"/>
          </reference>
        </references>
      </pivotArea>
    </format>
    <format dxfId="606">
      <pivotArea collapsedLevelsAreSubtotals="1" fieldPosition="0">
        <references count="3">
          <reference field="0" count="1" selected="0">
            <x v="2"/>
          </reference>
          <reference field="3" count="1">
            <x v="32"/>
          </reference>
          <reference field="5" count="1" selected="0">
            <x v="0"/>
          </reference>
        </references>
      </pivotArea>
    </format>
    <format dxfId="605">
      <pivotArea collapsedLevelsAreSubtotals="1" fieldPosition="0">
        <references count="2">
          <reference field="0" count="1">
            <x v="1"/>
          </reference>
          <reference field="5" count="1" selected="0">
            <x v="0"/>
          </reference>
        </references>
      </pivotArea>
    </format>
    <format dxfId="604">
      <pivotArea collapsedLevelsAreSubtotals="1" fieldPosition="0">
        <references count="2">
          <reference field="0" count="1">
            <x v="1"/>
          </reference>
          <reference field="5" count="1" selected="0">
            <x v="0"/>
          </reference>
        </references>
      </pivotArea>
    </format>
    <format dxfId="603">
      <pivotArea collapsedLevelsAreSubtotals="1" fieldPosition="0">
        <references count="1">
          <reference field="0" count="1">
            <x v="0"/>
          </reference>
        </references>
      </pivotArea>
    </format>
    <format dxfId="602">
      <pivotArea collapsedLevelsAreSubtotals="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601">
      <pivotArea collapsedLevelsAreSubtotals="1" fieldPosition="0">
        <references count="1">
          <reference field="0" count="1">
            <x v="1"/>
          </reference>
        </references>
      </pivotArea>
    </format>
    <format dxfId="600">
      <pivotArea collapsedLevelsAreSubtotals="1" fieldPosition="0">
        <references count="2">
          <reference field="0" count="1" selected="0">
            <x v="1"/>
          </reference>
          <reference field="3" count="3">
            <x v="6"/>
            <x v="19"/>
            <x v="33"/>
          </reference>
        </references>
      </pivotArea>
    </format>
    <format dxfId="599">
      <pivotArea collapsedLevelsAreSubtotals="1" fieldPosition="0">
        <references count="1">
          <reference field="0" count="1">
            <x v="2"/>
          </reference>
        </references>
      </pivotArea>
    </format>
    <format dxfId="598">
      <pivotArea collapsedLevelsAreSubtotals="1" fieldPosition="0">
        <references count="2">
          <reference field="0" count="1" selected="0">
            <x v="2"/>
          </reference>
          <reference field="3" count="1">
            <x v="32"/>
          </reference>
        </references>
      </pivotArea>
    </format>
    <format dxfId="597">
      <pivotArea grandRow="1" outline="0" collapsedLevelsAreSubtotals="1" fieldPosition="0"/>
    </format>
    <format dxfId="596">
      <pivotArea collapsedLevelsAreSubtotals="1" fieldPosition="0">
        <references count="2">
          <reference field="0" count="1">
            <x v="2"/>
          </reference>
          <reference field="5" count="1" selected="0">
            <x v="1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1C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6:F55"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Suma de certificacion" fld="33" baseField="3" baseItem="28" numFmtId="3"/>
  </dataFields>
  <formats count="75">
    <format dxfId="591">
      <pivotArea type="all" dataOnly="0" outline="0" fieldPosition="0"/>
    </format>
    <format dxfId="590">
      <pivotArea outline="0" collapsedLevelsAreSubtotals="1" fieldPosition="0"/>
    </format>
    <format dxfId="589">
      <pivotArea type="origin" dataOnly="0" labelOnly="1" outline="0" fieldPosition="0"/>
    </format>
    <format dxfId="588">
      <pivotArea field="5" type="button" dataOnly="0" labelOnly="1" outline="0" axis="axisCol" fieldPosition="0"/>
    </format>
    <format dxfId="587">
      <pivotArea type="topRight" dataOnly="0" labelOnly="1" outline="0" fieldPosition="0"/>
    </format>
    <format dxfId="586">
      <pivotArea field="3" type="button" dataOnly="0" labelOnly="1" outline="0" axis="axisRow" fieldPosition="1"/>
    </format>
    <format dxfId="585">
      <pivotArea dataOnly="0" labelOnly="1" fieldPosition="0">
        <references count="1">
          <reference field="3" count="0"/>
        </references>
      </pivotArea>
    </format>
    <format dxfId="584">
      <pivotArea dataOnly="0" labelOnly="1" grandRow="1" outline="0" fieldPosition="0"/>
    </format>
    <format dxfId="583">
      <pivotArea dataOnly="0" labelOnly="1" fieldPosition="0">
        <references count="1">
          <reference field="5" count="0"/>
        </references>
      </pivotArea>
    </format>
    <format dxfId="582">
      <pivotArea type="all" dataOnly="0" outline="0" fieldPosition="0"/>
    </format>
    <format dxfId="581">
      <pivotArea outline="0" collapsedLevelsAreSubtotals="1" fieldPosition="0"/>
    </format>
    <format dxfId="580">
      <pivotArea type="origin" dataOnly="0" labelOnly="1" outline="0" fieldPosition="0"/>
    </format>
    <format dxfId="579">
      <pivotArea field="5" type="button" dataOnly="0" labelOnly="1" outline="0" axis="axisCol" fieldPosition="0"/>
    </format>
    <format dxfId="578">
      <pivotArea type="topRight" dataOnly="0" labelOnly="1" outline="0" fieldPosition="0"/>
    </format>
    <format dxfId="577">
      <pivotArea field="3" type="button" dataOnly="0" labelOnly="1" outline="0" axis="axisRow" fieldPosition="1"/>
    </format>
    <format dxfId="576">
      <pivotArea dataOnly="0" labelOnly="1" fieldPosition="0">
        <references count="1">
          <reference field="3" count="0"/>
        </references>
      </pivotArea>
    </format>
    <format dxfId="575">
      <pivotArea dataOnly="0" labelOnly="1" grandRow="1" outline="0" fieldPosition="0"/>
    </format>
    <format dxfId="574">
      <pivotArea dataOnly="0" labelOnly="1" fieldPosition="0">
        <references count="1">
          <reference field="5" count="0"/>
        </references>
      </pivotArea>
    </format>
    <format dxfId="573">
      <pivotArea type="all" dataOnly="0" outline="0" fieldPosition="0"/>
    </format>
    <format dxfId="572">
      <pivotArea outline="0" collapsedLevelsAreSubtotals="1" fieldPosition="0"/>
    </format>
    <format dxfId="571">
      <pivotArea type="origin" dataOnly="0" labelOnly="1" outline="0" fieldPosition="0"/>
    </format>
    <format dxfId="570">
      <pivotArea field="5" type="button" dataOnly="0" labelOnly="1" outline="0" axis="axisCol" fieldPosition="0"/>
    </format>
    <format dxfId="569">
      <pivotArea type="topRight" dataOnly="0" labelOnly="1" outline="0" fieldPosition="0"/>
    </format>
    <format dxfId="568">
      <pivotArea field="0" type="button" dataOnly="0" labelOnly="1" outline="0" axis="axisRow" fieldPosition="0"/>
    </format>
    <format dxfId="567">
      <pivotArea dataOnly="0" labelOnly="1" fieldPosition="0">
        <references count="1">
          <reference field="0" count="0"/>
        </references>
      </pivotArea>
    </format>
    <format dxfId="566">
      <pivotArea dataOnly="0" labelOnly="1" grandRow="1" outline="0" fieldPosition="0"/>
    </format>
    <format dxfId="565">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564">
      <pivotArea dataOnly="0" labelOnly="1" fieldPosition="0">
        <references count="2">
          <reference field="0" count="1" selected="0">
            <x v="1"/>
          </reference>
          <reference field="3" count="2">
            <x v="6"/>
            <x v="19"/>
          </reference>
        </references>
      </pivotArea>
    </format>
    <format dxfId="563">
      <pivotArea dataOnly="0" labelOnly="1" fieldPosition="0">
        <references count="1">
          <reference field="5" count="0"/>
        </references>
      </pivotArea>
    </format>
    <format dxfId="562">
      <pivotArea type="origin" dataOnly="0" labelOnly="1" outline="0" fieldPosition="0"/>
    </format>
    <format dxfId="561">
      <pivotArea collapsedLevelsAreSubtotals="1" fieldPosition="0">
        <references count="1">
          <reference field="0" count="1">
            <x v="1"/>
          </reference>
        </references>
      </pivotArea>
    </format>
    <format dxfId="560">
      <pivotArea collapsedLevelsAreSubtotals="1" fieldPosition="0">
        <references count="1">
          <reference field="0" count="1">
            <x v="1"/>
          </reference>
        </references>
      </pivotArea>
    </format>
    <format dxfId="559">
      <pivotArea collapsedLevelsAreSubtotals="1" fieldPosition="0">
        <references count="1">
          <reference field="0" count="1">
            <x v="1"/>
          </reference>
        </references>
      </pivotArea>
    </format>
    <format dxfId="558">
      <pivotArea outline="0" fieldPosition="0">
        <references count="1">
          <reference field="4294967294" count="1">
            <x v="0"/>
          </reference>
        </references>
      </pivotArea>
    </format>
    <format dxfId="557">
      <pivotArea dataOnly="0" labelOnly="1" fieldPosition="0">
        <references count="1">
          <reference field="5" count="1">
            <x v="0"/>
          </reference>
        </references>
      </pivotArea>
    </format>
    <format dxfId="556">
      <pivotArea collapsedLevelsAreSubtotals="1" fieldPosition="0">
        <references count="2">
          <reference field="0" count="1">
            <x v="0"/>
          </reference>
          <reference field="5" count="1" selected="0">
            <x v="0"/>
          </reference>
        </references>
      </pivotArea>
    </format>
    <format dxfId="555">
      <pivotArea collapsedLevelsAreSubtotals="1" fieldPosition="0">
        <references count="3">
          <reference field="0" count="1" selected="0">
            <x v="0"/>
          </reference>
          <reference field="3" count="1">
            <x v="0"/>
          </reference>
          <reference field="5" count="1" selected="0">
            <x v="0"/>
          </reference>
        </references>
      </pivotArea>
    </format>
    <format dxfId="554">
      <pivotArea collapsedLevelsAreSubtotals="1" fieldPosition="0">
        <references count="3">
          <reference field="0" count="1" selected="0">
            <x v="0"/>
          </reference>
          <reference field="3" count="1">
            <x v="2"/>
          </reference>
          <reference field="5" count="1" selected="0">
            <x v="0"/>
          </reference>
        </references>
      </pivotArea>
    </format>
    <format dxfId="553">
      <pivotArea collapsedLevelsAreSubtotals="1" fieldPosition="0">
        <references count="3">
          <reference field="0" count="1" selected="0">
            <x v="0"/>
          </reference>
          <reference field="3" count="1">
            <x v="4"/>
          </reference>
          <reference field="5" count="1" selected="0">
            <x v="0"/>
          </reference>
        </references>
      </pivotArea>
    </format>
    <format dxfId="552">
      <pivotArea collapsedLevelsAreSubtotals="1" fieldPosition="0">
        <references count="3">
          <reference field="0" count="1" selected="0">
            <x v="0"/>
          </reference>
          <reference field="3" count="1">
            <x v="7"/>
          </reference>
          <reference field="5" count="1" selected="0">
            <x v="0"/>
          </reference>
        </references>
      </pivotArea>
    </format>
    <format dxfId="551">
      <pivotArea collapsedLevelsAreSubtotals="1" fieldPosition="0">
        <references count="3">
          <reference field="0" count="1" selected="0">
            <x v="0"/>
          </reference>
          <reference field="3" count="1">
            <x v="9"/>
          </reference>
          <reference field="5" count="1" selected="0">
            <x v="0"/>
          </reference>
        </references>
      </pivotArea>
    </format>
    <format dxfId="550">
      <pivotArea collapsedLevelsAreSubtotals="1" fieldPosition="0">
        <references count="3">
          <reference field="0" count="1" selected="0">
            <x v="0"/>
          </reference>
          <reference field="3" count="1">
            <x v="10"/>
          </reference>
          <reference field="5" count="1" selected="0">
            <x v="0"/>
          </reference>
        </references>
      </pivotArea>
    </format>
    <format dxfId="549">
      <pivotArea collapsedLevelsAreSubtotals="1" fieldPosition="0">
        <references count="3">
          <reference field="0" count="1" selected="0">
            <x v="0"/>
          </reference>
          <reference field="3" count="1">
            <x v="11"/>
          </reference>
          <reference field="5" count="1" selected="0">
            <x v="0"/>
          </reference>
        </references>
      </pivotArea>
    </format>
    <format dxfId="548">
      <pivotArea collapsedLevelsAreSubtotals="1" fieldPosition="0">
        <references count="3">
          <reference field="0" count="1" selected="0">
            <x v="0"/>
          </reference>
          <reference field="3" count="1">
            <x v="12"/>
          </reference>
          <reference field="5" count="1" selected="0">
            <x v="0"/>
          </reference>
        </references>
      </pivotArea>
    </format>
    <format dxfId="547">
      <pivotArea collapsedLevelsAreSubtotals="1" fieldPosition="0">
        <references count="3">
          <reference field="0" count="1" selected="0">
            <x v="0"/>
          </reference>
          <reference field="3" count="1">
            <x v="13"/>
          </reference>
          <reference field="5" count="1" selected="0">
            <x v="0"/>
          </reference>
        </references>
      </pivotArea>
    </format>
    <format dxfId="546">
      <pivotArea collapsedLevelsAreSubtotals="1" fieldPosition="0">
        <references count="3">
          <reference field="0" count="1" selected="0">
            <x v="0"/>
          </reference>
          <reference field="3" count="1">
            <x v="15"/>
          </reference>
          <reference field="5" count="1" selected="0">
            <x v="0"/>
          </reference>
        </references>
      </pivotArea>
    </format>
    <format dxfId="545">
      <pivotArea collapsedLevelsAreSubtotals="1" fieldPosition="0">
        <references count="3">
          <reference field="0" count="1" selected="0">
            <x v="0"/>
          </reference>
          <reference field="3" count="1">
            <x v="17"/>
          </reference>
          <reference field="5" count="1" selected="0">
            <x v="0"/>
          </reference>
        </references>
      </pivotArea>
    </format>
    <format dxfId="544">
      <pivotArea collapsedLevelsAreSubtotals="1" fieldPosition="0">
        <references count="3">
          <reference field="0" count="1" selected="0">
            <x v="0"/>
          </reference>
          <reference field="3" count="1">
            <x v="20"/>
          </reference>
          <reference field="5" count="1" selected="0">
            <x v="0"/>
          </reference>
        </references>
      </pivotArea>
    </format>
    <format dxfId="543">
      <pivotArea collapsedLevelsAreSubtotals="1" fieldPosition="0">
        <references count="3">
          <reference field="0" count="1" selected="0">
            <x v="0"/>
          </reference>
          <reference field="3" count="1">
            <x v="22"/>
          </reference>
          <reference field="5" count="1" selected="0">
            <x v="0"/>
          </reference>
        </references>
      </pivotArea>
    </format>
    <format dxfId="542">
      <pivotArea collapsedLevelsAreSubtotals="1" fieldPosition="0">
        <references count="3">
          <reference field="0" count="1" selected="0">
            <x v="0"/>
          </reference>
          <reference field="3" count="1">
            <x v="24"/>
          </reference>
          <reference field="5" count="1" selected="0">
            <x v="0"/>
          </reference>
        </references>
      </pivotArea>
    </format>
    <format dxfId="541">
      <pivotArea collapsedLevelsAreSubtotals="1" fieldPosition="0">
        <references count="3">
          <reference field="0" count="1" selected="0">
            <x v="0"/>
          </reference>
          <reference field="3" count="1">
            <x v="26"/>
          </reference>
          <reference field="5" count="1" selected="0">
            <x v="0"/>
          </reference>
        </references>
      </pivotArea>
    </format>
    <format dxfId="540">
      <pivotArea collapsedLevelsAreSubtotals="1" fieldPosition="0">
        <references count="3">
          <reference field="0" count="1" selected="0">
            <x v="0"/>
          </reference>
          <reference field="3" count="1">
            <x v="28"/>
          </reference>
          <reference field="5" count="1" selected="0">
            <x v="0"/>
          </reference>
        </references>
      </pivotArea>
    </format>
    <format dxfId="539">
      <pivotArea collapsedLevelsAreSubtotals="1" fieldPosition="0">
        <references count="3">
          <reference field="0" count="1" selected="0">
            <x v="0"/>
          </reference>
          <reference field="3" count="1">
            <x v="30"/>
          </reference>
          <reference field="5" count="1" selected="0">
            <x v="0"/>
          </reference>
        </references>
      </pivotArea>
    </format>
    <format dxfId="538">
      <pivotArea collapsedLevelsAreSubtotals="1" fieldPosition="0">
        <references count="3">
          <reference field="0" count="1" selected="0">
            <x v="1"/>
          </reference>
          <reference field="3" count="1">
            <x v="19"/>
          </reference>
          <reference field="5" count="1" selected="0">
            <x v="0"/>
          </reference>
        </references>
      </pivotArea>
    </format>
    <format dxfId="537">
      <pivotArea collapsedLevelsAreSubtotals="1" fieldPosition="0">
        <references count="2">
          <reference field="0" count="1">
            <x v="2"/>
          </reference>
          <reference field="5" count="1" selected="0">
            <x v="0"/>
          </reference>
        </references>
      </pivotArea>
    </format>
    <format dxfId="536">
      <pivotArea collapsedLevelsAreSubtotals="1" fieldPosition="0">
        <references count="3">
          <reference field="0" count="1" selected="0">
            <x v="0"/>
          </reference>
          <reference field="3" count="1">
            <x v="1"/>
          </reference>
          <reference field="5" count="1" selected="0">
            <x v="0"/>
          </reference>
        </references>
      </pivotArea>
    </format>
    <format dxfId="535">
      <pivotArea collapsedLevelsAreSubtotals="1" fieldPosition="0">
        <references count="3">
          <reference field="0" count="1" selected="0">
            <x v="0"/>
          </reference>
          <reference field="3" count="1">
            <x v="3"/>
          </reference>
          <reference field="5" count="1" selected="0">
            <x v="0"/>
          </reference>
        </references>
      </pivotArea>
    </format>
    <format dxfId="534">
      <pivotArea collapsedLevelsAreSubtotals="1" fieldPosition="0">
        <references count="3">
          <reference field="0" count="1" selected="0">
            <x v="0"/>
          </reference>
          <reference field="3" count="1">
            <x v="5"/>
          </reference>
          <reference field="5" count="1" selected="0">
            <x v="0"/>
          </reference>
        </references>
      </pivotArea>
    </format>
    <format dxfId="533">
      <pivotArea collapsedLevelsAreSubtotals="1" fieldPosition="0">
        <references count="3">
          <reference field="0" count="1" selected="0">
            <x v="0"/>
          </reference>
          <reference field="3" count="1">
            <x v="8"/>
          </reference>
          <reference field="5" count="1" selected="0">
            <x v="0"/>
          </reference>
        </references>
      </pivotArea>
    </format>
    <format dxfId="532">
      <pivotArea collapsedLevelsAreSubtotals="1" fieldPosition="0">
        <references count="3">
          <reference field="0" count="1" selected="0">
            <x v="0"/>
          </reference>
          <reference field="3" count="1">
            <x v="10"/>
          </reference>
          <reference field="5" count="1" selected="0">
            <x v="0"/>
          </reference>
        </references>
      </pivotArea>
    </format>
    <format dxfId="531">
      <pivotArea collapsedLevelsAreSubtotals="1" fieldPosition="0">
        <references count="3">
          <reference field="0" count="1" selected="0">
            <x v="0"/>
          </reference>
          <reference field="3" count="1">
            <x v="12"/>
          </reference>
          <reference field="5" count="1" selected="0">
            <x v="0"/>
          </reference>
        </references>
      </pivotArea>
    </format>
    <format dxfId="530">
      <pivotArea collapsedLevelsAreSubtotals="1" fieldPosition="0">
        <references count="3">
          <reference field="0" count="1" selected="0">
            <x v="0"/>
          </reference>
          <reference field="3" count="1">
            <x v="14"/>
          </reference>
          <reference field="5" count="1" selected="0">
            <x v="0"/>
          </reference>
        </references>
      </pivotArea>
    </format>
    <format dxfId="529">
      <pivotArea collapsedLevelsAreSubtotals="1" fieldPosition="0">
        <references count="3">
          <reference field="0" count="1" selected="0">
            <x v="0"/>
          </reference>
          <reference field="3" count="1">
            <x v="16"/>
          </reference>
          <reference field="5" count="1" selected="0">
            <x v="0"/>
          </reference>
        </references>
      </pivotArea>
    </format>
    <format dxfId="528">
      <pivotArea collapsedLevelsAreSubtotals="1" fieldPosition="0">
        <references count="3">
          <reference field="0" count="1" selected="0">
            <x v="0"/>
          </reference>
          <reference field="3" count="1">
            <x v="18"/>
          </reference>
          <reference field="5" count="1" selected="0">
            <x v="0"/>
          </reference>
        </references>
      </pivotArea>
    </format>
    <format dxfId="527">
      <pivotArea collapsedLevelsAreSubtotals="1" fieldPosition="0">
        <references count="3">
          <reference field="0" count="1" selected="0">
            <x v="0"/>
          </reference>
          <reference field="3" count="1">
            <x v="21"/>
          </reference>
          <reference field="5" count="1" selected="0">
            <x v="0"/>
          </reference>
        </references>
      </pivotArea>
    </format>
    <format dxfId="526">
      <pivotArea collapsedLevelsAreSubtotals="1" fieldPosition="0">
        <references count="3">
          <reference field="0" count="1" selected="0">
            <x v="0"/>
          </reference>
          <reference field="3" count="1">
            <x v="23"/>
          </reference>
          <reference field="5" count="1" selected="0">
            <x v="0"/>
          </reference>
        </references>
      </pivotArea>
    </format>
    <format dxfId="525">
      <pivotArea collapsedLevelsAreSubtotals="1" fieldPosition="0">
        <references count="3">
          <reference field="0" count="1" selected="0">
            <x v="0"/>
          </reference>
          <reference field="3" count="1">
            <x v="25"/>
          </reference>
          <reference field="5" count="1" selected="0">
            <x v="0"/>
          </reference>
        </references>
      </pivotArea>
    </format>
    <format dxfId="524">
      <pivotArea collapsedLevelsAreSubtotals="1" fieldPosition="0">
        <references count="3">
          <reference field="0" count="1" selected="0">
            <x v="0"/>
          </reference>
          <reference field="3" count="1">
            <x v="27"/>
          </reference>
          <reference field="5" count="1" selected="0">
            <x v="0"/>
          </reference>
        </references>
      </pivotArea>
    </format>
    <format dxfId="523">
      <pivotArea collapsedLevelsAreSubtotals="1" fieldPosition="0">
        <references count="3">
          <reference field="0" count="1" selected="0">
            <x v="0"/>
          </reference>
          <reference field="3" count="1">
            <x v="29"/>
          </reference>
          <reference field="5" count="1" selected="0">
            <x v="0"/>
          </reference>
        </references>
      </pivotArea>
    </format>
    <format dxfId="522">
      <pivotArea collapsedLevelsAreSubtotals="1" fieldPosition="0">
        <references count="3">
          <reference field="0" count="1" selected="0">
            <x v="0"/>
          </reference>
          <reference field="3" count="1">
            <x v="31"/>
          </reference>
          <reference field="5" count="1" selected="0">
            <x v="0"/>
          </reference>
        </references>
      </pivotArea>
    </format>
    <format dxfId="521">
      <pivotArea collapsedLevelsAreSubtotals="1" fieldPosition="0">
        <references count="3">
          <reference field="0" count="1" selected="0">
            <x v="1"/>
          </reference>
          <reference field="3" count="1">
            <x v="6"/>
          </reference>
          <reference field="5" count="1" selected="0">
            <x v="0"/>
          </reference>
        </references>
      </pivotArea>
    </format>
    <format dxfId="520">
      <pivotArea collapsedLevelsAreSubtotals="1" fieldPosition="0">
        <references count="3">
          <reference field="0" count="1" selected="0">
            <x v="1"/>
          </reference>
          <reference field="3" count="1">
            <x v="33"/>
          </reference>
          <reference field="5" count="1" selected="0">
            <x v="0"/>
          </reference>
        </references>
      </pivotArea>
    </format>
    <format dxfId="519">
      <pivotArea collapsedLevelsAreSubtotals="1" fieldPosition="0">
        <references count="3">
          <reference field="0" count="1" selected="0">
            <x v="2"/>
          </reference>
          <reference field="3" count="1">
            <x v="32"/>
          </reference>
          <reference field="5" count="1" selected="0">
            <x v="0"/>
          </reference>
        </references>
      </pivotArea>
    </format>
    <format dxfId="518">
      <pivotArea collapsedLevelsAreSubtotals="1" fieldPosition="0">
        <references count="2">
          <reference field="0" count="1">
            <x v="1"/>
          </reference>
          <reference field="5" count="1" selected="0">
            <x v="0"/>
          </reference>
        </references>
      </pivotArea>
    </format>
    <format dxfId="517">
      <pivotArea collapsedLevelsAreSubtotals="1" fieldPosition="0">
        <references count="2">
          <reference field="0" count="1">
            <x v="1"/>
          </reference>
          <reference field="5" count="1" selected="0">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CFE8A0EC-0D46-40D9-9712-66028D7FD7AD}"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2:C49" firstHeaderRow="1" firstDataRow="2" firstDataCol="1"/>
  <pivotFields count="77">
    <pivotField axis="axisRow" showAll="0">
      <items count="4">
        <item x="0"/>
        <item x="1"/>
        <item h="1"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h="1" x="8"/>
        <item h="1" x="9"/>
        <item h="1"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2">
    <field x="0"/>
    <field x="3"/>
  </rowFields>
  <rowItems count="36">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t="grand">
      <x/>
    </i>
  </rowItems>
  <colFields count="1">
    <field x="5"/>
  </colFields>
  <colItems count="2">
    <i>
      <x v="9"/>
    </i>
    <i>
      <x v="10"/>
    </i>
  </colItems>
  <dataFields count="1">
    <dataField name="Suma de ACOLO" fld="76" baseField="0" baseItem="0" numFmtId="164"/>
  </dataFields>
  <formats count="34">
    <format dxfId="512">
      <pivotArea type="all" dataOnly="0" outline="0" fieldPosition="0"/>
    </format>
    <format dxfId="511">
      <pivotArea outline="0" collapsedLevelsAreSubtotals="1" fieldPosition="0"/>
    </format>
    <format dxfId="510">
      <pivotArea type="origin" dataOnly="0" labelOnly="1" outline="0" fieldPosition="0"/>
    </format>
    <format dxfId="509">
      <pivotArea field="5" type="button" dataOnly="0" labelOnly="1" outline="0" axis="axisCol" fieldPosition="0"/>
    </format>
    <format dxfId="508">
      <pivotArea type="topRight" dataOnly="0" labelOnly="1" outline="0" fieldPosition="0"/>
    </format>
    <format dxfId="507">
      <pivotArea field="3" type="button" dataOnly="0" labelOnly="1" outline="0" axis="axisRow" fieldPosition="1"/>
    </format>
    <format dxfId="506">
      <pivotArea dataOnly="0" labelOnly="1" fieldPosition="0">
        <references count="1">
          <reference field="3" count="0"/>
        </references>
      </pivotArea>
    </format>
    <format dxfId="505">
      <pivotArea dataOnly="0" labelOnly="1" grandRow="1" outline="0" fieldPosition="0"/>
    </format>
    <format dxfId="504">
      <pivotArea dataOnly="0" labelOnly="1" fieldPosition="0">
        <references count="1">
          <reference field="5" count="0"/>
        </references>
      </pivotArea>
    </format>
    <format dxfId="503">
      <pivotArea type="all" dataOnly="0" outline="0" fieldPosition="0"/>
    </format>
    <format dxfId="502">
      <pivotArea outline="0" collapsedLevelsAreSubtotals="1" fieldPosition="0"/>
    </format>
    <format dxfId="501">
      <pivotArea type="origin" dataOnly="0" labelOnly="1" outline="0" fieldPosition="0"/>
    </format>
    <format dxfId="500">
      <pivotArea field="5" type="button" dataOnly="0" labelOnly="1" outline="0" axis="axisCol" fieldPosition="0"/>
    </format>
    <format dxfId="499">
      <pivotArea type="topRight" dataOnly="0" labelOnly="1" outline="0" fieldPosition="0"/>
    </format>
    <format dxfId="498">
      <pivotArea field="3" type="button" dataOnly="0" labelOnly="1" outline="0" axis="axisRow" fieldPosition="1"/>
    </format>
    <format dxfId="497">
      <pivotArea dataOnly="0" labelOnly="1" fieldPosition="0">
        <references count="1">
          <reference field="3" count="0"/>
        </references>
      </pivotArea>
    </format>
    <format dxfId="496">
      <pivotArea dataOnly="0" labelOnly="1" grandRow="1" outline="0" fieldPosition="0"/>
    </format>
    <format dxfId="495">
      <pivotArea dataOnly="0" labelOnly="1" fieldPosition="0">
        <references count="1">
          <reference field="5" count="0"/>
        </references>
      </pivotArea>
    </format>
    <format dxfId="494">
      <pivotArea type="all" dataOnly="0" outline="0" fieldPosition="0"/>
    </format>
    <format dxfId="493">
      <pivotArea outline="0" collapsedLevelsAreSubtotals="1" fieldPosition="0"/>
    </format>
    <format dxfId="492">
      <pivotArea type="origin" dataOnly="0" labelOnly="1" outline="0" fieldPosition="0"/>
    </format>
    <format dxfId="491">
      <pivotArea field="5" type="button" dataOnly="0" labelOnly="1" outline="0" axis="axisCol" fieldPosition="0"/>
    </format>
    <format dxfId="490">
      <pivotArea type="topRight" dataOnly="0" labelOnly="1" outline="0" fieldPosition="0"/>
    </format>
    <format dxfId="489">
      <pivotArea field="0" type="button" dataOnly="0" labelOnly="1" outline="0" axis="axisRow" fieldPosition="0"/>
    </format>
    <format dxfId="488">
      <pivotArea dataOnly="0" labelOnly="1" fieldPosition="0">
        <references count="1">
          <reference field="0" count="0"/>
        </references>
      </pivotArea>
    </format>
    <format dxfId="487">
      <pivotArea dataOnly="0" labelOnly="1" grandRow="1" outline="0" fieldPosition="0"/>
    </format>
    <format dxfId="486">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485">
      <pivotArea dataOnly="0" labelOnly="1" fieldPosition="0">
        <references count="2">
          <reference field="0" count="1" selected="0">
            <x v="1"/>
          </reference>
          <reference field="3" count="2">
            <x v="6"/>
            <x v="19"/>
          </reference>
        </references>
      </pivotArea>
    </format>
    <format dxfId="484">
      <pivotArea dataOnly="0" labelOnly="1" fieldPosition="0">
        <references count="1">
          <reference field="5" count="0"/>
        </references>
      </pivotArea>
    </format>
    <format dxfId="483">
      <pivotArea type="origin" dataOnly="0" labelOnly="1" outline="0" fieldPosition="0"/>
    </format>
    <format dxfId="482">
      <pivotArea collapsedLevelsAreSubtotals="1" fieldPosition="0">
        <references count="1">
          <reference field="0" count="1">
            <x v="1"/>
          </reference>
        </references>
      </pivotArea>
    </format>
    <format dxfId="481">
      <pivotArea collapsedLevelsAreSubtotals="1" fieldPosition="0">
        <references count="1">
          <reference field="0" count="1">
            <x v="1"/>
          </reference>
        </references>
      </pivotArea>
    </format>
    <format dxfId="480">
      <pivotArea collapsedLevelsAreSubtotals="1" fieldPosition="0">
        <references count="1">
          <reference field="0" count="1">
            <x v="1"/>
          </reference>
        </references>
      </pivotArea>
    </format>
    <format dxfId="479">
      <pivotArea outline="0" collapsedLevelsAreSubtotals="1" fieldPosition="0"/>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1D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2" firstHeaderRow="1" firstDataRow="2" firstDataCol="1"/>
  <pivotFields count="77">
    <pivotField axis="axisRow" showAll="0">
      <items count="4">
        <item x="0"/>
        <item x="1"/>
        <item h="1"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6">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t="grand">
      <x/>
    </i>
  </rowItems>
  <colFields count="1">
    <field x="5"/>
  </colFields>
  <colItems count="5">
    <i>
      <x v="6"/>
    </i>
    <i>
      <x v="7"/>
    </i>
    <i>
      <x v="8"/>
    </i>
    <i>
      <x v="9"/>
    </i>
    <i>
      <x v="10"/>
    </i>
  </colItems>
  <dataFields count="1">
    <dataField name="Promedio de BECEXT" fld="65" subtotal="average" baseField="3" baseItem="0" numFmtId="164"/>
  </dataFields>
  <formats count="34">
    <format dxfId="474">
      <pivotArea type="all" dataOnly="0" outline="0" fieldPosition="0"/>
    </format>
    <format dxfId="473">
      <pivotArea outline="0" collapsedLevelsAreSubtotals="1" fieldPosition="0"/>
    </format>
    <format dxfId="472">
      <pivotArea type="origin" dataOnly="0" labelOnly="1" outline="0" fieldPosition="0"/>
    </format>
    <format dxfId="471">
      <pivotArea field="5" type="button" dataOnly="0" labelOnly="1" outline="0" axis="axisCol" fieldPosition="0"/>
    </format>
    <format dxfId="470">
      <pivotArea type="topRight" dataOnly="0" labelOnly="1" outline="0" fieldPosition="0"/>
    </format>
    <format dxfId="469">
      <pivotArea field="3" type="button" dataOnly="0" labelOnly="1" outline="0" axis="axisRow" fieldPosition="1"/>
    </format>
    <format dxfId="468">
      <pivotArea dataOnly="0" labelOnly="1" fieldPosition="0">
        <references count="1">
          <reference field="3" count="0"/>
        </references>
      </pivotArea>
    </format>
    <format dxfId="467">
      <pivotArea dataOnly="0" labelOnly="1" grandRow="1" outline="0" fieldPosition="0"/>
    </format>
    <format dxfId="466">
      <pivotArea dataOnly="0" labelOnly="1" fieldPosition="0">
        <references count="1">
          <reference field="5" count="0"/>
        </references>
      </pivotArea>
    </format>
    <format dxfId="465">
      <pivotArea type="all" dataOnly="0" outline="0" fieldPosition="0"/>
    </format>
    <format dxfId="464">
      <pivotArea outline="0" collapsedLevelsAreSubtotals="1" fieldPosition="0"/>
    </format>
    <format dxfId="463">
      <pivotArea type="origin" dataOnly="0" labelOnly="1" outline="0" fieldPosition="0"/>
    </format>
    <format dxfId="462">
      <pivotArea field="5" type="button" dataOnly="0" labelOnly="1" outline="0" axis="axisCol" fieldPosition="0"/>
    </format>
    <format dxfId="461">
      <pivotArea type="topRight" dataOnly="0" labelOnly="1" outline="0" fieldPosition="0"/>
    </format>
    <format dxfId="460">
      <pivotArea field="3" type="button" dataOnly="0" labelOnly="1" outline="0" axis="axisRow" fieldPosition="1"/>
    </format>
    <format dxfId="459">
      <pivotArea dataOnly="0" labelOnly="1" fieldPosition="0">
        <references count="1">
          <reference field="3" count="0"/>
        </references>
      </pivotArea>
    </format>
    <format dxfId="458">
      <pivotArea dataOnly="0" labelOnly="1" grandRow="1" outline="0" fieldPosition="0"/>
    </format>
    <format dxfId="457">
      <pivotArea dataOnly="0" labelOnly="1" fieldPosition="0">
        <references count="1">
          <reference field="5" count="0"/>
        </references>
      </pivotArea>
    </format>
    <format dxfId="456">
      <pivotArea type="all" dataOnly="0" outline="0" fieldPosition="0"/>
    </format>
    <format dxfId="455">
      <pivotArea outline="0" collapsedLevelsAreSubtotals="1" fieldPosition="0"/>
    </format>
    <format dxfId="454">
      <pivotArea type="origin" dataOnly="0" labelOnly="1" outline="0" fieldPosition="0"/>
    </format>
    <format dxfId="453">
      <pivotArea field="5" type="button" dataOnly="0" labelOnly="1" outline="0" axis="axisCol" fieldPosition="0"/>
    </format>
    <format dxfId="452">
      <pivotArea type="topRight" dataOnly="0" labelOnly="1" outline="0" fieldPosition="0"/>
    </format>
    <format dxfId="451">
      <pivotArea field="0" type="button" dataOnly="0" labelOnly="1" outline="0" axis="axisRow" fieldPosition="0"/>
    </format>
    <format dxfId="450">
      <pivotArea dataOnly="0" labelOnly="1" fieldPosition="0">
        <references count="1">
          <reference field="0" count="0"/>
        </references>
      </pivotArea>
    </format>
    <format dxfId="449">
      <pivotArea dataOnly="0" labelOnly="1" grandRow="1" outline="0" fieldPosition="0"/>
    </format>
    <format dxfId="448">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447">
      <pivotArea dataOnly="0" labelOnly="1" fieldPosition="0">
        <references count="2">
          <reference field="0" count="1" selected="0">
            <x v="1"/>
          </reference>
          <reference field="3" count="2">
            <x v="6"/>
            <x v="19"/>
          </reference>
        </references>
      </pivotArea>
    </format>
    <format dxfId="446">
      <pivotArea dataOnly="0" labelOnly="1" fieldPosition="0">
        <references count="1">
          <reference field="5" count="0"/>
        </references>
      </pivotArea>
    </format>
    <format dxfId="445">
      <pivotArea type="origin" dataOnly="0" labelOnly="1" outline="0" fieldPosition="0"/>
    </format>
    <format dxfId="444">
      <pivotArea collapsedLevelsAreSubtotals="1" fieldPosition="0">
        <references count="1">
          <reference field="0" count="1">
            <x v="1"/>
          </reference>
        </references>
      </pivotArea>
    </format>
    <format dxfId="443">
      <pivotArea collapsedLevelsAreSubtotals="1" fieldPosition="0">
        <references count="1">
          <reference field="0" count="1">
            <x v="1"/>
          </reference>
        </references>
      </pivotArea>
    </format>
    <format dxfId="442">
      <pivotArea collapsedLevelsAreSubtotals="1" fieldPosition="0">
        <references count="1">
          <reference field="0" count="1">
            <x v="1"/>
          </reference>
        </references>
      </pivotArea>
    </format>
    <format dxfId="441">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1F00-000000000000}"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8:D14" firstHeaderRow="0" firstDataRow="1" firstDataCol="1"/>
  <pivotFields count="77">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11">
        <item h="1" x="2"/>
        <item h="1" x="3"/>
        <item h="1" x="4"/>
        <item h="1" x="5"/>
        <item h="1" x="6"/>
        <item h="1" x="7"/>
        <item x="8"/>
        <item x="9"/>
        <item x="10"/>
        <item x="1"/>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6">
    <i>
      <x v="33"/>
    </i>
    <i r="1">
      <x v="6"/>
    </i>
    <i r="1">
      <x v="7"/>
    </i>
    <i r="1">
      <x v="8"/>
    </i>
    <i r="1">
      <x v="9"/>
    </i>
    <i r="1">
      <x v="10"/>
    </i>
  </rowItems>
  <colFields count="1">
    <field x="-2"/>
  </colFields>
  <colItems count="3">
    <i>
      <x/>
    </i>
    <i i="1">
      <x v="1"/>
    </i>
    <i i="2">
      <x v="2"/>
    </i>
  </colItems>
  <dataFields count="3">
    <dataField name="Gasto total ejercido" fld="36" baseField="3" baseItem="33" numFmtId="167"/>
    <dataField name="Gasto Ejercido en docentes" fld="35" baseField="3" baseItem="33" numFmtId="167"/>
    <dataField name="Costo docente (%)" fld="67" subtotal="average" baseField="5" baseItem="0" numFmtId="165"/>
  </dataFields>
  <formats count="54">
    <format dxfId="436">
      <pivotArea type="all" dataOnly="0" outline="0" fieldPosition="0"/>
    </format>
    <format dxfId="435">
      <pivotArea outline="0" collapsedLevelsAreSubtotals="1" fieldPosition="0"/>
    </format>
    <format dxfId="434">
      <pivotArea type="origin" dataOnly="0" labelOnly="1" outline="0" fieldPosition="0"/>
    </format>
    <format dxfId="433">
      <pivotArea field="5" type="button" dataOnly="0" labelOnly="1" outline="0" axis="axisRow" fieldPosition="1"/>
    </format>
    <format dxfId="432">
      <pivotArea type="topRight" dataOnly="0" labelOnly="1" outline="0" fieldPosition="0"/>
    </format>
    <format dxfId="431">
      <pivotArea field="3" type="button" dataOnly="0" labelOnly="1" outline="0" axis="axisRow" fieldPosition="0"/>
    </format>
    <format dxfId="430">
      <pivotArea dataOnly="0" labelOnly="1" fieldPosition="0">
        <references count="1">
          <reference field="3" count="0"/>
        </references>
      </pivotArea>
    </format>
    <format dxfId="429">
      <pivotArea dataOnly="0" labelOnly="1" grandRow="1" outline="0" fieldPosition="0"/>
    </format>
    <format dxfId="428">
      <pivotArea dataOnly="0" labelOnly="1" fieldPosition="0">
        <references count="1">
          <reference field="5" count="0"/>
        </references>
      </pivotArea>
    </format>
    <format dxfId="427">
      <pivotArea type="all" dataOnly="0" outline="0" fieldPosition="0"/>
    </format>
    <format dxfId="426">
      <pivotArea outline="0" collapsedLevelsAreSubtotals="1" fieldPosition="0"/>
    </format>
    <format dxfId="425">
      <pivotArea type="origin" dataOnly="0" labelOnly="1" outline="0" fieldPosition="0"/>
    </format>
    <format dxfId="424">
      <pivotArea field="5" type="button" dataOnly="0" labelOnly="1" outline="0" axis="axisRow" fieldPosition="1"/>
    </format>
    <format dxfId="423">
      <pivotArea type="topRight" dataOnly="0" labelOnly="1" outline="0" fieldPosition="0"/>
    </format>
    <format dxfId="422">
      <pivotArea field="3" type="button" dataOnly="0" labelOnly="1" outline="0" axis="axisRow" fieldPosition="0"/>
    </format>
    <format dxfId="421">
      <pivotArea dataOnly="0" labelOnly="1" fieldPosition="0">
        <references count="1">
          <reference field="3" count="0"/>
        </references>
      </pivotArea>
    </format>
    <format dxfId="420">
      <pivotArea dataOnly="0" labelOnly="1" grandRow="1" outline="0" fieldPosition="0"/>
    </format>
    <format dxfId="419">
      <pivotArea dataOnly="0" labelOnly="1" fieldPosition="0">
        <references count="1">
          <reference field="5" count="0"/>
        </references>
      </pivotArea>
    </format>
    <format dxfId="418">
      <pivotArea type="all" dataOnly="0" outline="0" fieldPosition="0"/>
    </format>
    <format dxfId="417">
      <pivotArea outline="0" collapsedLevelsAreSubtotals="1" fieldPosition="0"/>
    </format>
    <format dxfId="416">
      <pivotArea type="origin" dataOnly="0" labelOnly="1" outline="0" fieldPosition="0"/>
    </format>
    <format dxfId="415">
      <pivotArea field="5" type="button" dataOnly="0" labelOnly="1" outline="0" axis="axisRow" fieldPosition="1"/>
    </format>
    <format dxfId="414">
      <pivotArea type="topRight" dataOnly="0" labelOnly="1" outline="0" fieldPosition="0"/>
    </format>
    <format dxfId="413">
      <pivotArea field="0" type="button" dataOnly="0" labelOnly="1" outline="0"/>
    </format>
    <format dxfId="412">
      <pivotArea dataOnly="0" labelOnly="1" grandRow="1" outline="0" fieldPosition="0"/>
    </format>
    <format dxfId="411">
      <pivotArea dataOnly="0" labelOnly="1" fieldPosition="0">
        <references count="1">
          <reference field="5" count="0"/>
        </references>
      </pivotArea>
    </format>
    <format dxfId="410">
      <pivotArea type="origin" dataOnly="0" labelOnly="1" outline="0" fieldPosition="0"/>
    </format>
    <format dxfId="409">
      <pivotArea dataOnly="0" labelOnly="1" fieldPosition="0">
        <references count="1">
          <reference field="5" count="1">
            <x v="0"/>
          </reference>
        </references>
      </pivotArea>
    </format>
    <format dxfId="408">
      <pivotArea outline="0" fieldPosition="0">
        <references count="1">
          <reference field="4294967294" count="1">
            <x v="1"/>
          </reference>
        </references>
      </pivotArea>
    </format>
    <format dxfId="407">
      <pivotArea outline="0" fieldPosition="0">
        <references count="1">
          <reference field="4294967294" count="1">
            <x v="0"/>
          </reference>
        </references>
      </pivotArea>
    </format>
    <format dxfId="406">
      <pivotArea dataOnly="0" labelOnly="1" fieldPosition="0">
        <references count="2">
          <reference field="3" count="0" selected="0"/>
          <reference field="5" count="1">
            <x v="0"/>
          </reference>
        </references>
      </pivotArea>
    </format>
    <format dxfId="405">
      <pivotArea field="3" type="button" dataOnly="0" labelOnly="1" outline="0" axis="axisRow" fieldPosition="0"/>
    </format>
    <format dxfId="404">
      <pivotArea dataOnly="0" labelOnly="1" outline="0" fieldPosition="0">
        <references count="1">
          <reference field="4294967294" count="3">
            <x v="0"/>
            <x v="1"/>
            <x v="2"/>
          </reference>
        </references>
      </pivotArea>
    </format>
    <format dxfId="403">
      <pivotArea field="3" type="button" dataOnly="0" labelOnly="1" outline="0" axis="axisRow" fieldPosition="0"/>
    </format>
    <format dxfId="402">
      <pivotArea dataOnly="0" labelOnly="1" outline="0" fieldPosition="0">
        <references count="1">
          <reference field="4294967294" count="3">
            <x v="0"/>
            <x v="1"/>
            <x v="2"/>
          </reference>
        </references>
      </pivotArea>
    </format>
    <format dxfId="401">
      <pivotArea field="3" type="button" dataOnly="0" labelOnly="1" outline="0" axis="axisRow" fieldPosition="0"/>
    </format>
    <format dxfId="400">
      <pivotArea dataOnly="0" labelOnly="1" outline="0" fieldPosition="0">
        <references count="1">
          <reference field="4294967294" count="3">
            <x v="0"/>
            <x v="1"/>
            <x v="2"/>
          </reference>
        </references>
      </pivotArea>
    </format>
    <format dxfId="399">
      <pivotArea dataOnly="0" labelOnly="1" outline="0" fieldPosition="0">
        <references count="1">
          <reference field="4294967294" count="3">
            <x v="0"/>
            <x v="1"/>
            <x v="2"/>
          </reference>
        </references>
      </pivotArea>
    </format>
    <format dxfId="398">
      <pivotArea type="all" dataOnly="0" outline="0" fieldPosition="0"/>
    </format>
    <format dxfId="397">
      <pivotArea outline="0" collapsedLevelsAreSubtotals="1" fieldPosition="0"/>
    </format>
    <format dxfId="396">
      <pivotArea field="3" type="button" dataOnly="0" labelOnly="1" outline="0" axis="axisRow" fieldPosition="0"/>
    </format>
    <format dxfId="395">
      <pivotArea dataOnly="0" labelOnly="1" fieldPosition="0">
        <references count="1">
          <reference field="3" count="0"/>
        </references>
      </pivotArea>
    </format>
    <format dxfId="394">
      <pivotArea dataOnly="0" labelOnly="1" fieldPosition="0">
        <references count="2">
          <reference field="3" count="0" selected="0"/>
          <reference field="5" count="0"/>
        </references>
      </pivotArea>
    </format>
    <format dxfId="393">
      <pivotArea dataOnly="0" labelOnly="1" outline="0" fieldPosition="0">
        <references count="1">
          <reference field="4294967294" count="3">
            <x v="0"/>
            <x v="1"/>
            <x v="2"/>
          </reference>
        </references>
      </pivotArea>
    </format>
    <format dxfId="392">
      <pivotArea dataOnly="0" labelOnly="1" outline="0" fieldPosition="0">
        <references count="1">
          <reference field="4294967294" count="3">
            <x v="0"/>
            <x v="1"/>
            <x v="2"/>
          </reference>
        </references>
      </pivotArea>
    </format>
    <format dxfId="391">
      <pivotArea dataOnly="0" labelOnly="1" outline="0" fieldPosition="0">
        <references count="1">
          <reference field="4294967294" count="3">
            <x v="0"/>
            <x v="1"/>
            <x v="2"/>
          </reference>
        </references>
      </pivotArea>
    </format>
    <format dxfId="390">
      <pivotArea collapsedLevelsAreSubtotals="1" fieldPosition="0">
        <references count="3">
          <reference field="4294967294" count="1" selected="0">
            <x v="2"/>
          </reference>
          <reference field="3" count="0" selected="0"/>
          <reference field="5" count="0"/>
        </references>
      </pivotArea>
    </format>
    <format dxfId="389">
      <pivotArea outline="0" fieldPosition="0">
        <references count="1">
          <reference field="4294967294" count="1">
            <x v="1"/>
          </reference>
        </references>
      </pivotArea>
    </format>
    <format dxfId="388">
      <pivotArea outline="0" fieldPosition="0">
        <references count="1">
          <reference field="4294967294" count="1">
            <x v="0"/>
          </reference>
        </references>
      </pivotArea>
    </format>
    <format dxfId="387">
      <pivotArea dataOnly="0" labelOnly="1" fieldPosition="0">
        <references count="2">
          <reference field="3" count="0" selected="0"/>
          <reference field="5" count="0"/>
        </references>
      </pivotArea>
    </format>
    <format dxfId="386">
      <pivotArea field="3" type="button" dataOnly="0" labelOnly="1" outline="0" axis="axisRow" fieldPosition="0"/>
    </format>
    <format dxfId="385">
      <pivotArea dataOnly="0" labelOnly="1" outline="0" fieldPosition="0">
        <references count="1">
          <reference field="4294967294" count="3">
            <x v="0"/>
            <x v="1"/>
            <x v="2"/>
          </reference>
        </references>
      </pivotArea>
    </format>
    <format dxfId="384">
      <pivotArea collapsedLevelsAreSubtotals="1" fieldPosition="0">
        <references count="3">
          <reference field="4294967294" count="1" selected="0">
            <x v="0"/>
          </reference>
          <reference field="3" count="0" selected="0"/>
          <reference field="5" count="0"/>
        </references>
      </pivotArea>
    </format>
    <format dxfId="383">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2000-000000000000}"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8:D14" firstHeaderRow="0" firstDataRow="1" firstDataCol="1"/>
  <pivotFields count="77">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11">
        <item h="1" x="2"/>
        <item h="1" x="3"/>
        <item h="1" x="4"/>
        <item h="1" x="5"/>
        <item h="1" x="6"/>
        <item h="1" x="7"/>
        <item x="8"/>
        <item x="9"/>
        <item x="10"/>
        <item x="1"/>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6">
    <i>
      <x v="33"/>
    </i>
    <i r="1">
      <x v="6"/>
    </i>
    <i r="1">
      <x v="7"/>
    </i>
    <i r="1">
      <x v="8"/>
    </i>
    <i r="1">
      <x v="9"/>
    </i>
    <i r="1">
      <x v="10"/>
    </i>
  </rowItems>
  <colFields count="1">
    <field x="-2"/>
  </colFields>
  <colItems count="3">
    <i>
      <x/>
    </i>
    <i i="1">
      <x v="1"/>
    </i>
    <i i="2">
      <x v="2"/>
    </i>
  </colItems>
  <dataFields count="3">
    <dataField name="Presupuesto Reprogramado total" fld="38" baseField="3" baseItem="33" numFmtId="167"/>
    <dataField name="Presupuesto_x000a_Ejercido Total" fld="37" baseField="3" baseItem="33" numFmtId="167"/>
    <dataField name="Evolución del Presupuesto Reprogramado Total" fld="68" subtotal="average" baseField="3" baseItem="33" numFmtId="168"/>
  </dataFields>
  <formats count="55">
    <format dxfId="382">
      <pivotArea type="all" dataOnly="0" outline="0" fieldPosition="0"/>
    </format>
    <format dxfId="381">
      <pivotArea outline="0" collapsedLevelsAreSubtotals="1" fieldPosition="0"/>
    </format>
    <format dxfId="380">
      <pivotArea type="origin" dataOnly="0" labelOnly="1" outline="0" fieldPosition="0"/>
    </format>
    <format dxfId="379">
      <pivotArea field="5" type="button" dataOnly="0" labelOnly="1" outline="0" axis="axisRow" fieldPosition="1"/>
    </format>
    <format dxfId="378">
      <pivotArea type="topRight" dataOnly="0" labelOnly="1" outline="0" fieldPosition="0"/>
    </format>
    <format dxfId="377">
      <pivotArea field="3" type="button" dataOnly="0" labelOnly="1" outline="0" axis="axisRow" fieldPosition="0"/>
    </format>
    <format dxfId="376">
      <pivotArea dataOnly="0" labelOnly="1" fieldPosition="0">
        <references count="1">
          <reference field="3" count="0"/>
        </references>
      </pivotArea>
    </format>
    <format dxfId="375">
      <pivotArea dataOnly="0" labelOnly="1" grandRow="1" outline="0" fieldPosition="0"/>
    </format>
    <format dxfId="374">
      <pivotArea dataOnly="0" labelOnly="1" fieldPosition="0">
        <references count="1">
          <reference field="5" count="0"/>
        </references>
      </pivotArea>
    </format>
    <format dxfId="373">
      <pivotArea type="all" dataOnly="0" outline="0" fieldPosition="0"/>
    </format>
    <format dxfId="372">
      <pivotArea outline="0" collapsedLevelsAreSubtotals="1" fieldPosition="0"/>
    </format>
    <format dxfId="371">
      <pivotArea type="origin" dataOnly="0" labelOnly="1" outline="0" fieldPosition="0"/>
    </format>
    <format dxfId="370">
      <pivotArea field="5" type="button" dataOnly="0" labelOnly="1" outline="0" axis="axisRow" fieldPosition="1"/>
    </format>
    <format dxfId="369">
      <pivotArea type="topRight" dataOnly="0" labelOnly="1" outline="0" fieldPosition="0"/>
    </format>
    <format dxfId="368">
      <pivotArea field="3" type="button" dataOnly="0" labelOnly="1" outline="0" axis="axisRow" fieldPosition="0"/>
    </format>
    <format dxfId="367">
      <pivotArea dataOnly="0" labelOnly="1" fieldPosition="0">
        <references count="1">
          <reference field="3" count="0"/>
        </references>
      </pivotArea>
    </format>
    <format dxfId="366">
      <pivotArea dataOnly="0" labelOnly="1" grandRow="1" outline="0" fieldPosition="0"/>
    </format>
    <format dxfId="365">
      <pivotArea dataOnly="0" labelOnly="1" fieldPosition="0">
        <references count="1">
          <reference field="5" count="0"/>
        </references>
      </pivotArea>
    </format>
    <format dxfId="364">
      <pivotArea type="all" dataOnly="0" outline="0" fieldPosition="0"/>
    </format>
    <format dxfId="363">
      <pivotArea outline="0" collapsedLevelsAreSubtotals="1" fieldPosition="0"/>
    </format>
    <format dxfId="362">
      <pivotArea type="origin" dataOnly="0" labelOnly="1" outline="0" fieldPosition="0"/>
    </format>
    <format dxfId="361">
      <pivotArea field="5" type="button" dataOnly="0" labelOnly="1" outline="0" axis="axisRow" fieldPosition="1"/>
    </format>
    <format dxfId="360">
      <pivotArea type="topRight" dataOnly="0" labelOnly="1" outline="0" fieldPosition="0"/>
    </format>
    <format dxfId="359">
      <pivotArea field="0" type="button" dataOnly="0" labelOnly="1" outline="0"/>
    </format>
    <format dxfId="358">
      <pivotArea dataOnly="0" labelOnly="1" grandRow="1" outline="0" fieldPosition="0"/>
    </format>
    <format dxfId="357">
      <pivotArea dataOnly="0" labelOnly="1" fieldPosition="0">
        <references count="1">
          <reference field="5" count="0"/>
        </references>
      </pivotArea>
    </format>
    <format dxfId="356">
      <pivotArea type="origin" dataOnly="0" labelOnly="1" outline="0" fieldPosition="0"/>
    </format>
    <format dxfId="355">
      <pivotArea dataOnly="0" labelOnly="1" fieldPosition="0">
        <references count="1">
          <reference field="5" count="1">
            <x v="0"/>
          </reference>
        </references>
      </pivotArea>
    </format>
    <format dxfId="354">
      <pivotArea dataOnly="0" labelOnly="1" fieldPosition="0">
        <references count="2">
          <reference field="3" count="0" selected="0"/>
          <reference field="5" count="1">
            <x v="0"/>
          </reference>
        </references>
      </pivotArea>
    </format>
    <format dxfId="353">
      <pivotArea field="3" type="button" dataOnly="0" labelOnly="1" outline="0" axis="axisRow" fieldPosition="0"/>
    </format>
    <format dxfId="352">
      <pivotArea field="3" type="button" dataOnly="0" labelOnly="1" outline="0" axis="axisRow" fieldPosition="0"/>
    </format>
    <format dxfId="351">
      <pivotArea field="3" type="button" dataOnly="0" labelOnly="1" outline="0" axis="axisRow" fieldPosition="0"/>
    </format>
    <format dxfId="350">
      <pivotArea type="all" dataOnly="0" outline="0" fieldPosition="0"/>
    </format>
    <format dxfId="349">
      <pivotArea outline="0" collapsedLevelsAreSubtotals="1" fieldPosition="0"/>
    </format>
    <format dxfId="348">
      <pivotArea field="3" type="button" dataOnly="0" labelOnly="1" outline="0" axis="axisRow" fieldPosition="0"/>
    </format>
    <format dxfId="347">
      <pivotArea dataOnly="0" labelOnly="1" fieldPosition="0">
        <references count="1">
          <reference field="3" count="0"/>
        </references>
      </pivotArea>
    </format>
    <format dxfId="346">
      <pivotArea dataOnly="0" labelOnly="1" fieldPosition="0">
        <references count="2">
          <reference field="3" count="0" selected="0"/>
          <reference field="5" count="0"/>
        </references>
      </pivotArea>
    </format>
    <format dxfId="345">
      <pivotArea dataOnly="0" labelOnly="1" fieldPosition="0">
        <references count="2">
          <reference field="3" count="0" selected="0"/>
          <reference field="5" count="0"/>
        </references>
      </pivotArea>
    </format>
    <format dxfId="344">
      <pivotArea outline="0" fieldPosition="0">
        <references count="1">
          <reference field="4294967294" count="1">
            <x v="2"/>
          </reference>
        </references>
      </pivotArea>
    </format>
    <format dxfId="343">
      <pivotArea outline="0" fieldPosition="0">
        <references count="1">
          <reference field="4294967294" count="1">
            <x v="1"/>
          </reference>
        </references>
      </pivotArea>
    </format>
    <format dxfId="342">
      <pivotArea outline="0" fieldPosition="0">
        <references count="1">
          <reference field="4294967294" count="1">
            <x v="0"/>
          </reference>
        </references>
      </pivotArea>
    </format>
    <format dxfId="341">
      <pivotArea field="3" type="button" dataOnly="0" labelOnly="1" outline="0" axis="axisRow" fieldPosition="0"/>
    </format>
    <format dxfId="340">
      <pivotArea dataOnly="0" labelOnly="1" outline="0" fieldPosition="0">
        <references count="1">
          <reference field="4294967294" count="3">
            <x v="0"/>
            <x v="1"/>
            <x v="2"/>
          </reference>
        </references>
      </pivotArea>
    </format>
    <format dxfId="339">
      <pivotArea dataOnly="0" labelOnly="1" outline="0" fieldPosition="0">
        <references count="1">
          <reference field="4294967294" count="1">
            <x v="1"/>
          </reference>
        </references>
      </pivotArea>
    </format>
    <format dxfId="338">
      <pivotArea dataOnly="0" labelOnly="1" outline="0" fieldPosition="0">
        <references count="1">
          <reference field="4294967294" count="1">
            <x v="0"/>
          </reference>
        </references>
      </pivotArea>
    </format>
    <format dxfId="337">
      <pivotArea dataOnly="0" labelOnly="1" outline="0" fieldPosition="0">
        <references count="1">
          <reference field="4294967294" count="1">
            <x v="2"/>
          </reference>
        </references>
      </pivotArea>
    </format>
    <format dxfId="336">
      <pivotArea field="3" type="button" dataOnly="0" labelOnly="1" outline="0" axis="axisRow" fieldPosition="0"/>
    </format>
    <format dxfId="335">
      <pivotArea dataOnly="0" labelOnly="1" outline="0" fieldPosition="0">
        <references count="1">
          <reference field="4294967294" count="3">
            <x v="0"/>
            <x v="1"/>
            <x v="2"/>
          </reference>
        </references>
      </pivotArea>
    </format>
    <format dxfId="334">
      <pivotArea field="3" type="button" dataOnly="0" labelOnly="1" outline="0" axis="axisRow" fieldPosition="0"/>
    </format>
    <format dxfId="333">
      <pivotArea dataOnly="0" labelOnly="1" outline="0" fieldPosition="0">
        <references count="1">
          <reference field="4294967294" count="3">
            <x v="0"/>
            <x v="1"/>
            <x v="2"/>
          </reference>
        </references>
      </pivotArea>
    </format>
    <format dxfId="332">
      <pivotArea dataOnly="0" labelOnly="1" outline="0" fieldPosition="0">
        <references count="1">
          <reference field="4294967294" count="3">
            <x v="0"/>
            <x v="1"/>
            <x v="2"/>
          </reference>
        </references>
      </pivotArea>
    </format>
    <format dxfId="331">
      <pivotArea field="3" type="button" dataOnly="0" labelOnly="1" outline="0" axis="axisRow" fieldPosition="0"/>
    </format>
    <format dxfId="330">
      <pivotArea dataOnly="0" labelOnly="1" outline="0" fieldPosition="0">
        <references count="1">
          <reference field="4294967294" count="3">
            <x v="0"/>
            <x v="1"/>
            <x v="2"/>
          </reference>
        </references>
      </pivotArea>
    </format>
    <format dxfId="329">
      <pivotArea collapsedLevelsAreSubtotals="1" fieldPosition="0">
        <references count="3">
          <reference field="4294967294" count="1" selected="0">
            <x v="0"/>
          </reference>
          <reference field="3" count="0" selected="0"/>
          <reference field="5" count="0"/>
        </references>
      </pivotArea>
    </format>
    <format dxfId="328">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2100-000000000000}"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8:D14" firstHeaderRow="0" firstDataRow="1" firstDataCol="1"/>
  <pivotFields count="77">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11">
        <item h="1" x="2"/>
        <item h="1" x="3"/>
        <item h="1" x="4"/>
        <item h="1" x="5"/>
        <item h="1" x="6"/>
        <item h="1" x="7"/>
        <item x="8"/>
        <item x="9"/>
        <item x="10"/>
        <item x="1"/>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6">
    <i>
      <x v="33"/>
    </i>
    <i r="1">
      <x v="6"/>
    </i>
    <i r="1">
      <x v="7"/>
    </i>
    <i r="1">
      <x v="8"/>
    </i>
    <i r="1">
      <x v="9"/>
    </i>
    <i r="1">
      <x v="10"/>
    </i>
  </rowItems>
  <colFields count="1">
    <field x="-2"/>
  </colFields>
  <colItems count="3">
    <i>
      <x/>
    </i>
    <i i="1">
      <x v="1"/>
    </i>
    <i i="2">
      <x v="2"/>
    </i>
  </colItems>
  <dataFields count="3">
    <dataField name="Presupuesto Reprogramado_x000a_(Recursos Fiscales)" fld="40" baseField="5" baseItem="0" numFmtId="167"/>
    <dataField name="Presupuesto Ejercido (Recursos Fiscales)" fld="39" baseField="5" baseItem="0" numFmtId="167"/>
    <dataField name="Evolución del Presupuesto Reprogramado_x000a_(Recursos fiscales)" fld="69" subtotal="average" baseField="5" baseItem="0" numFmtId="164"/>
  </dataFields>
  <formats count="51">
    <format dxfId="327">
      <pivotArea type="all" dataOnly="0" outline="0" fieldPosition="0"/>
    </format>
    <format dxfId="326">
      <pivotArea outline="0" collapsedLevelsAreSubtotals="1" fieldPosition="0"/>
    </format>
    <format dxfId="325">
      <pivotArea type="origin" dataOnly="0" labelOnly="1" outline="0" fieldPosition="0"/>
    </format>
    <format dxfId="324">
      <pivotArea field="5" type="button" dataOnly="0" labelOnly="1" outline="0" axis="axisRow" fieldPosition="1"/>
    </format>
    <format dxfId="323">
      <pivotArea type="topRight" dataOnly="0" labelOnly="1" outline="0" fieldPosition="0"/>
    </format>
    <format dxfId="322">
      <pivotArea field="3" type="button" dataOnly="0" labelOnly="1" outline="0" axis="axisRow" fieldPosition="0"/>
    </format>
    <format dxfId="321">
      <pivotArea dataOnly="0" labelOnly="1" fieldPosition="0">
        <references count="1">
          <reference field="3" count="0"/>
        </references>
      </pivotArea>
    </format>
    <format dxfId="320">
      <pivotArea dataOnly="0" labelOnly="1" grandRow="1" outline="0" fieldPosition="0"/>
    </format>
    <format dxfId="319">
      <pivotArea dataOnly="0" labelOnly="1" fieldPosition="0">
        <references count="1">
          <reference field="5" count="0"/>
        </references>
      </pivotArea>
    </format>
    <format dxfId="318">
      <pivotArea type="all" dataOnly="0" outline="0" fieldPosition="0"/>
    </format>
    <format dxfId="317">
      <pivotArea outline="0" collapsedLevelsAreSubtotals="1" fieldPosition="0"/>
    </format>
    <format dxfId="316">
      <pivotArea type="origin" dataOnly="0" labelOnly="1" outline="0" fieldPosition="0"/>
    </format>
    <format dxfId="315">
      <pivotArea field="5" type="button" dataOnly="0" labelOnly="1" outline="0" axis="axisRow" fieldPosition="1"/>
    </format>
    <format dxfId="314">
      <pivotArea type="topRight" dataOnly="0" labelOnly="1" outline="0" fieldPosition="0"/>
    </format>
    <format dxfId="313">
      <pivotArea field="3" type="button" dataOnly="0" labelOnly="1" outline="0" axis="axisRow" fieldPosition="0"/>
    </format>
    <format dxfId="312">
      <pivotArea dataOnly="0" labelOnly="1" fieldPosition="0">
        <references count="1">
          <reference field="3" count="0"/>
        </references>
      </pivotArea>
    </format>
    <format dxfId="311">
      <pivotArea dataOnly="0" labelOnly="1" grandRow="1" outline="0" fieldPosition="0"/>
    </format>
    <format dxfId="310">
      <pivotArea dataOnly="0" labelOnly="1" fieldPosition="0">
        <references count="1">
          <reference field="5" count="0"/>
        </references>
      </pivotArea>
    </format>
    <format dxfId="309">
      <pivotArea type="all" dataOnly="0" outline="0" fieldPosition="0"/>
    </format>
    <format dxfId="308">
      <pivotArea outline="0" collapsedLevelsAreSubtotals="1" fieldPosition="0"/>
    </format>
    <format dxfId="307">
      <pivotArea type="origin" dataOnly="0" labelOnly="1" outline="0" fieldPosition="0"/>
    </format>
    <format dxfId="306">
      <pivotArea field="5" type="button" dataOnly="0" labelOnly="1" outline="0" axis="axisRow" fieldPosition="1"/>
    </format>
    <format dxfId="305">
      <pivotArea type="topRight" dataOnly="0" labelOnly="1" outline="0" fieldPosition="0"/>
    </format>
    <format dxfId="304">
      <pivotArea field="0" type="button" dataOnly="0" labelOnly="1" outline="0"/>
    </format>
    <format dxfId="303">
      <pivotArea dataOnly="0" labelOnly="1" grandRow="1" outline="0" fieldPosition="0"/>
    </format>
    <format dxfId="302">
      <pivotArea dataOnly="0" labelOnly="1" fieldPosition="0">
        <references count="1">
          <reference field="5" count="0"/>
        </references>
      </pivotArea>
    </format>
    <format dxfId="301">
      <pivotArea type="origin" dataOnly="0" labelOnly="1" outline="0" fieldPosition="0"/>
    </format>
    <format dxfId="300">
      <pivotArea dataOnly="0" labelOnly="1" fieldPosition="0">
        <references count="1">
          <reference field="5" count="1">
            <x v="0"/>
          </reference>
        </references>
      </pivotArea>
    </format>
    <format dxfId="299">
      <pivotArea dataOnly="0" labelOnly="1" fieldPosition="0">
        <references count="2">
          <reference field="3" count="0" selected="0"/>
          <reference field="5" count="1">
            <x v="0"/>
          </reference>
        </references>
      </pivotArea>
    </format>
    <format dxfId="298">
      <pivotArea field="3" type="button" dataOnly="0" labelOnly="1" outline="0" axis="axisRow" fieldPosition="0"/>
    </format>
    <format dxfId="297">
      <pivotArea field="3" type="button" dataOnly="0" labelOnly="1" outline="0" axis="axisRow" fieldPosition="0"/>
    </format>
    <format dxfId="296">
      <pivotArea field="3" type="button" dataOnly="0" labelOnly="1" outline="0" axis="axisRow" fieldPosition="0"/>
    </format>
    <format dxfId="295">
      <pivotArea type="all" dataOnly="0" outline="0" fieldPosition="0"/>
    </format>
    <format dxfId="294">
      <pivotArea outline="0" collapsedLevelsAreSubtotals="1" fieldPosition="0"/>
    </format>
    <format dxfId="293">
      <pivotArea field="3" type="button" dataOnly="0" labelOnly="1" outline="0" axis="axisRow" fieldPosition="0"/>
    </format>
    <format dxfId="292">
      <pivotArea dataOnly="0" labelOnly="1" fieldPosition="0">
        <references count="1">
          <reference field="3" count="0"/>
        </references>
      </pivotArea>
    </format>
    <format dxfId="291">
      <pivotArea dataOnly="0" labelOnly="1" fieldPosition="0">
        <references count="2">
          <reference field="3" count="0" selected="0"/>
          <reference field="5" count="0"/>
        </references>
      </pivotArea>
    </format>
    <format dxfId="290">
      <pivotArea dataOnly="0" labelOnly="1" fieldPosition="0">
        <references count="2">
          <reference field="3" count="0" selected="0"/>
          <reference field="5" count="0"/>
        </references>
      </pivotArea>
    </format>
    <format dxfId="289">
      <pivotArea field="3" type="button" dataOnly="0" labelOnly="1" outline="0" axis="axisRow" fieldPosition="0"/>
    </format>
    <format dxfId="288">
      <pivotArea field="3" type="button" dataOnly="0" labelOnly="1" outline="0" axis="axisRow" fieldPosition="0"/>
    </format>
    <format dxfId="287">
      <pivotArea field="3" type="button" dataOnly="0" labelOnly="1" outline="0" axis="axisRow" fieldPosition="0"/>
    </format>
    <format dxfId="286">
      <pivotArea field="3" type="button" dataOnly="0" labelOnly="1" outline="0" axis="axisRow" fieldPosition="0"/>
    </format>
    <format dxfId="285">
      <pivotArea outline="0" fieldPosition="0">
        <references count="1">
          <reference field="4294967294" count="1">
            <x v="2"/>
          </reference>
        </references>
      </pivotArea>
    </format>
    <format dxfId="284">
      <pivotArea outline="0" fieldPosition="0">
        <references count="1">
          <reference field="4294967294" count="1">
            <x v="0"/>
          </reference>
        </references>
      </pivotArea>
    </format>
    <format dxfId="283">
      <pivotArea outline="0" fieldPosition="0">
        <references count="1">
          <reference field="4294967294" count="1">
            <x v="1"/>
          </reference>
        </references>
      </pivotArea>
    </format>
    <format dxfId="282">
      <pivotArea dataOnly="0" labelOnly="1" outline="0" fieldPosition="0">
        <references count="1">
          <reference field="4294967294" count="3">
            <x v="0"/>
            <x v="1"/>
            <x v="2"/>
          </reference>
        </references>
      </pivotArea>
    </format>
    <format dxfId="281">
      <pivotArea dataOnly="0" labelOnly="1" outline="0" fieldPosition="0">
        <references count="1">
          <reference field="4294967294" count="3">
            <x v="0"/>
            <x v="1"/>
            <x v="2"/>
          </reference>
        </references>
      </pivotArea>
    </format>
    <format dxfId="280">
      <pivotArea dataOnly="0" labelOnly="1" outline="0" fieldPosition="0">
        <references count="1">
          <reference field="4294967294" count="3">
            <x v="0"/>
            <x v="1"/>
            <x v="2"/>
          </reference>
        </references>
      </pivotArea>
    </format>
    <format dxfId="279">
      <pivotArea dataOnly="0" labelOnly="1" outline="0" fieldPosition="0">
        <references count="1">
          <reference field="4294967294" count="3">
            <x v="0"/>
            <x v="1"/>
            <x v="2"/>
          </reference>
        </references>
      </pivotArea>
    </format>
    <format dxfId="278">
      <pivotArea collapsedLevelsAreSubtotals="1" fieldPosition="0">
        <references count="3">
          <reference field="4294967294" count="1" selected="0">
            <x v="0"/>
          </reference>
          <reference field="3" count="0" selected="0"/>
          <reference field="5" count="0"/>
        </references>
      </pivotArea>
    </format>
    <format dxfId="277">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7" cacheId="1"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compact="0" compactData="0" multipleFieldFilters="0" rowHeaderCaption="Entidad / sostenimiento" colHeaderCaption="Año">
  <location ref="A3:C14" firstHeaderRow="0" firstDataRow="1" firstDataCol="1"/>
  <pivotFields count="76">
    <pivotField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sortType="ascending">
      <items count="35">
        <item x="0"/>
        <item x="1"/>
        <item x="2"/>
        <item x="3"/>
        <item x="4"/>
        <item x="5"/>
        <item x="6"/>
        <item x="7"/>
        <item x="8"/>
        <item x="9"/>
        <item x="10"/>
        <item x="11"/>
        <item x="12"/>
        <item x="13"/>
        <item x="14"/>
        <item x="15"/>
        <item x="16"/>
        <item x="17"/>
        <item x="18"/>
        <item x="19"/>
        <item h="1" x="33"/>
        <item h="1" x="32"/>
        <item x="20"/>
        <item x="21"/>
        <item x="22"/>
        <item x="23"/>
        <item x="24"/>
        <item x="25"/>
        <item x="26"/>
        <item x="27"/>
        <item x="28"/>
        <item x="29"/>
        <item x="30"/>
        <item x="3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multipleItemSelectionAllowed="1" showAll="0">
      <items count="12">
        <item x="2"/>
        <item x="3"/>
        <item x="4"/>
        <item x="5"/>
        <item x="6"/>
        <item x="7"/>
        <item x="8"/>
        <item x="9"/>
        <item m="1" x="10"/>
        <item x="1"/>
        <item x="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Fields count="1">
    <field x="5"/>
  </rowFields>
  <rowItems count="11">
    <i>
      <x/>
    </i>
    <i>
      <x v="1"/>
    </i>
    <i>
      <x v="2"/>
    </i>
    <i>
      <x v="3"/>
    </i>
    <i>
      <x v="4"/>
    </i>
    <i>
      <x v="5"/>
    </i>
    <i>
      <x v="6"/>
    </i>
    <i>
      <x v="7"/>
    </i>
    <i>
      <x v="9"/>
    </i>
    <i>
      <x v="10"/>
    </i>
    <i t="grand">
      <x/>
    </i>
  </rowItems>
  <colFields count="1">
    <field x="-2"/>
  </colFields>
  <colItems count="2">
    <i>
      <x/>
    </i>
    <i i="1">
      <x v="1"/>
    </i>
  </colItems>
  <dataFields count="2">
    <dataField name="Suma de becaext" fld="29" baseField="0" baseItem="0"/>
    <dataField name="Suma de BECEXT" fld="65" baseField="0" baseItem="0" numFmtId="3"/>
  </dataFields>
  <formats count="33">
    <format dxfId="1564">
      <pivotArea type="all" dataOnly="0" outline="0" fieldPosition="0"/>
    </format>
    <format dxfId="1563">
      <pivotArea outline="0" collapsedLevelsAreSubtotals="1" fieldPosition="0"/>
    </format>
    <format dxfId="1562">
      <pivotArea type="origin" dataOnly="0" labelOnly="1" outline="0" fieldPosition="0"/>
    </format>
    <format dxfId="1561">
      <pivotArea field="5" type="button" dataOnly="0" labelOnly="1" outline="0" axis="axisRow" fieldPosition="0"/>
    </format>
    <format dxfId="1560">
      <pivotArea type="topRight" dataOnly="0" labelOnly="1" outline="0" fieldPosition="0"/>
    </format>
    <format dxfId="1559">
      <pivotArea field="3" type="button" dataOnly="0" labelOnly="1" outline="0"/>
    </format>
    <format dxfId="1558">
      <pivotArea dataOnly="0" labelOnly="1" grandRow="1" outline="0" fieldPosition="0"/>
    </format>
    <format dxfId="1557">
      <pivotArea type="all" dataOnly="0" outline="0" fieldPosition="0"/>
    </format>
    <format dxfId="1556">
      <pivotArea outline="0" collapsedLevelsAreSubtotals="1" fieldPosition="0"/>
    </format>
    <format dxfId="1555">
      <pivotArea type="origin" dataOnly="0" labelOnly="1" outline="0" fieldPosition="0"/>
    </format>
    <format dxfId="1554">
      <pivotArea field="5" type="button" dataOnly="0" labelOnly="1" outline="0" axis="axisRow" fieldPosition="0"/>
    </format>
    <format dxfId="1553">
      <pivotArea type="topRight" dataOnly="0" labelOnly="1" outline="0" fieldPosition="0"/>
    </format>
    <format dxfId="1552">
      <pivotArea field="3" type="button" dataOnly="0" labelOnly="1" outline="0"/>
    </format>
    <format dxfId="1551">
      <pivotArea dataOnly="0" labelOnly="1" grandRow="1" outline="0" fieldPosition="0"/>
    </format>
    <format dxfId="1550">
      <pivotArea type="all" dataOnly="0" outline="0" fieldPosition="0"/>
    </format>
    <format dxfId="1549">
      <pivotArea outline="0" collapsedLevelsAreSubtotals="1" fieldPosition="0"/>
    </format>
    <format dxfId="1548">
      <pivotArea type="origin" dataOnly="0" labelOnly="1" outline="0" fieldPosition="0"/>
    </format>
    <format dxfId="1547">
      <pivotArea field="5" type="button" dataOnly="0" labelOnly="1" outline="0" axis="axisRow" fieldPosition="0"/>
    </format>
    <format dxfId="1546">
      <pivotArea type="topRight" dataOnly="0" labelOnly="1" outline="0" fieldPosition="0"/>
    </format>
    <format dxfId="1545">
      <pivotArea field="0" type="button" dataOnly="0" labelOnly="1" outline="0"/>
    </format>
    <format dxfId="1544">
      <pivotArea dataOnly="0" labelOnly="1" grandRow="1" outline="0" fieldPosition="0"/>
    </format>
    <format dxfId="1543">
      <pivotArea type="origin" dataOnly="0" labelOnly="1" outline="0" fieldPosition="0"/>
    </format>
    <format dxfId="1542">
      <pivotArea grandRow="1" outline="0" collapsedLevelsAreSubtotals="1" fieldPosition="0"/>
    </format>
    <format dxfId="1541">
      <pivotArea grandRow="1" outline="0" collapsedLevelsAreSubtotals="1" fieldPosition="0"/>
    </format>
    <format dxfId="1540">
      <pivotArea grandRow="1" outline="0" collapsedLevelsAreSubtotals="1" fieldPosition="0"/>
    </format>
    <format dxfId="1539">
      <pivotArea grandRow="1" outline="0" collapsedLevelsAreSubtotals="1" fieldPosition="0"/>
    </format>
    <format dxfId="1538">
      <pivotArea grandRow="1" outline="0" collapsedLevelsAreSubtotals="1" fieldPosition="0"/>
    </format>
    <format dxfId="1537">
      <pivotArea grandRow="1" outline="0" collapsedLevelsAreSubtotals="1" fieldPosition="0"/>
    </format>
    <format dxfId="1536">
      <pivotArea grandRow="1" outline="0" collapsedLevelsAreSubtotals="1" fieldPosition="0"/>
    </format>
    <format dxfId="1535">
      <pivotArea grandRow="1" outline="0" collapsedLevelsAreSubtotals="1" fieldPosition="0"/>
    </format>
    <format dxfId="1534">
      <pivotArea field="3" type="button" dataOnly="0" labelOnly="1" outline="0"/>
    </format>
    <format dxfId="1533">
      <pivotArea field="3" type="button" dataOnly="0" labelOnly="1" outline="0"/>
    </format>
    <format dxfId="1532">
      <pivotArea outline="0" collapsedLevelsAreSubtotals="1" fieldPosition="0"/>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2200-000000000000}"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8:D14" firstHeaderRow="0" firstDataRow="1" firstDataCol="1"/>
  <pivotFields count="77">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11">
        <item h="1" x="2"/>
        <item h="1" x="3"/>
        <item h="1" x="4"/>
        <item h="1" x="5"/>
        <item h="1" x="6"/>
        <item h="1" x="7"/>
        <item x="8"/>
        <item x="9"/>
        <item x="10"/>
        <item x="1"/>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6">
    <i>
      <x v="33"/>
    </i>
    <i r="1">
      <x v="6"/>
    </i>
    <i r="1">
      <x v="7"/>
    </i>
    <i r="1">
      <x v="8"/>
    </i>
    <i r="1">
      <x v="9"/>
    </i>
    <i r="1">
      <x v="10"/>
    </i>
  </rowItems>
  <colFields count="1">
    <field x="-2"/>
  </colFields>
  <colItems count="3">
    <i>
      <x/>
    </i>
    <i i="1">
      <x v="1"/>
    </i>
    <i i="2">
      <x v="2"/>
    </i>
  </colItems>
  <dataFields count="3">
    <dataField name="Presupuesto Reprogramado_x000a_(Gasto Corriente)" fld="42" baseField="3" baseItem="33" numFmtId="167"/>
    <dataField name="Presupuesto Ejercido (Gasto Corriente)" fld="41" baseField="3" baseItem="33" numFmtId="167"/>
    <dataField name="Evolución del Gasto Corriente " fld="70" subtotal="average" baseField="3" baseItem="33" numFmtId="168"/>
  </dataFields>
  <formats count="51">
    <format dxfId="276">
      <pivotArea type="all" dataOnly="0" outline="0" fieldPosition="0"/>
    </format>
    <format dxfId="275">
      <pivotArea outline="0" collapsedLevelsAreSubtotals="1" fieldPosition="0"/>
    </format>
    <format dxfId="274">
      <pivotArea type="origin" dataOnly="0" labelOnly="1" outline="0" fieldPosition="0"/>
    </format>
    <format dxfId="273">
      <pivotArea field="5" type="button" dataOnly="0" labelOnly="1" outline="0" axis="axisRow" fieldPosition="1"/>
    </format>
    <format dxfId="272">
      <pivotArea type="topRight" dataOnly="0" labelOnly="1" outline="0" fieldPosition="0"/>
    </format>
    <format dxfId="271">
      <pivotArea field="3" type="button" dataOnly="0" labelOnly="1" outline="0" axis="axisRow" fieldPosition="0"/>
    </format>
    <format dxfId="270">
      <pivotArea dataOnly="0" labelOnly="1" fieldPosition="0">
        <references count="1">
          <reference field="3" count="0"/>
        </references>
      </pivotArea>
    </format>
    <format dxfId="269">
      <pivotArea dataOnly="0" labelOnly="1" grandRow="1" outline="0" fieldPosition="0"/>
    </format>
    <format dxfId="268">
      <pivotArea dataOnly="0" labelOnly="1" fieldPosition="0">
        <references count="1">
          <reference field="5" count="0"/>
        </references>
      </pivotArea>
    </format>
    <format dxfId="267">
      <pivotArea type="all" dataOnly="0" outline="0" fieldPosition="0"/>
    </format>
    <format dxfId="266">
      <pivotArea outline="0" collapsedLevelsAreSubtotals="1" fieldPosition="0"/>
    </format>
    <format dxfId="265">
      <pivotArea type="origin" dataOnly="0" labelOnly="1" outline="0" fieldPosition="0"/>
    </format>
    <format dxfId="264">
      <pivotArea field="5" type="button" dataOnly="0" labelOnly="1" outline="0" axis="axisRow" fieldPosition="1"/>
    </format>
    <format dxfId="263">
      <pivotArea type="topRight" dataOnly="0" labelOnly="1" outline="0" fieldPosition="0"/>
    </format>
    <format dxfId="262">
      <pivotArea field="3" type="button" dataOnly="0" labelOnly="1" outline="0" axis="axisRow" fieldPosition="0"/>
    </format>
    <format dxfId="261">
      <pivotArea dataOnly="0" labelOnly="1" fieldPosition="0">
        <references count="1">
          <reference field="3" count="0"/>
        </references>
      </pivotArea>
    </format>
    <format dxfId="260">
      <pivotArea dataOnly="0" labelOnly="1" grandRow="1" outline="0" fieldPosition="0"/>
    </format>
    <format dxfId="259">
      <pivotArea dataOnly="0" labelOnly="1" fieldPosition="0">
        <references count="1">
          <reference field="5" count="0"/>
        </references>
      </pivotArea>
    </format>
    <format dxfId="258">
      <pivotArea type="all" dataOnly="0" outline="0" fieldPosition="0"/>
    </format>
    <format dxfId="257">
      <pivotArea outline="0" collapsedLevelsAreSubtotals="1" fieldPosition="0"/>
    </format>
    <format dxfId="256">
      <pivotArea type="origin" dataOnly="0" labelOnly="1" outline="0" fieldPosition="0"/>
    </format>
    <format dxfId="255">
      <pivotArea field="5" type="button" dataOnly="0" labelOnly="1" outline="0" axis="axisRow" fieldPosition="1"/>
    </format>
    <format dxfId="254">
      <pivotArea type="topRight" dataOnly="0" labelOnly="1" outline="0" fieldPosition="0"/>
    </format>
    <format dxfId="253">
      <pivotArea field="0" type="button" dataOnly="0" labelOnly="1" outline="0"/>
    </format>
    <format dxfId="252">
      <pivotArea dataOnly="0" labelOnly="1" grandRow="1" outline="0" fieldPosition="0"/>
    </format>
    <format dxfId="251">
      <pivotArea dataOnly="0" labelOnly="1" fieldPosition="0">
        <references count="1">
          <reference field="5" count="0"/>
        </references>
      </pivotArea>
    </format>
    <format dxfId="250">
      <pivotArea type="origin" dataOnly="0" labelOnly="1" outline="0" fieldPosition="0"/>
    </format>
    <format dxfId="249">
      <pivotArea dataOnly="0" labelOnly="1" fieldPosition="0">
        <references count="1">
          <reference field="5" count="1">
            <x v="0"/>
          </reference>
        </references>
      </pivotArea>
    </format>
    <format dxfId="248">
      <pivotArea dataOnly="0" labelOnly="1" fieldPosition="0">
        <references count="2">
          <reference field="3" count="0" selected="0"/>
          <reference field="5" count="1">
            <x v="0"/>
          </reference>
        </references>
      </pivotArea>
    </format>
    <format dxfId="247">
      <pivotArea field="3" type="button" dataOnly="0" labelOnly="1" outline="0" axis="axisRow" fieldPosition="0"/>
    </format>
    <format dxfId="246">
      <pivotArea field="3" type="button" dataOnly="0" labelOnly="1" outline="0" axis="axisRow" fieldPosition="0"/>
    </format>
    <format dxfId="245">
      <pivotArea field="3" type="button" dataOnly="0" labelOnly="1" outline="0" axis="axisRow" fieldPosition="0"/>
    </format>
    <format dxfId="244">
      <pivotArea type="all" dataOnly="0" outline="0" fieldPosition="0"/>
    </format>
    <format dxfId="243">
      <pivotArea outline="0" collapsedLevelsAreSubtotals="1" fieldPosition="0"/>
    </format>
    <format dxfId="242">
      <pivotArea field="3" type="button" dataOnly="0" labelOnly="1" outline="0" axis="axisRow" fieldPosition="0"/>
    </format>
    <format dxfId="241">
      <pivotArea dataOnly="0" labelOnly="1" fieldPosition="0">
        <references count="1">
          <reference field="3" count="0"/>
        </references>
      </pivotArea>
    </format>
    <format dxfId="240">
      <pivotArea dataOnly="0" labelOnly="1" fieldPosition="0">
        <references count="2">
          <reference field="3" count="0" selected="0"/>
          <reference field="5" count="0"/>
        </references>
      </pivotArea>
    </format>
    <format dxfId="239">
      <pivotArea dataOnly="0" labelOnly="1" fieldPosition="0">
        <references count="2">
          <reference field="3" count="0" selected="0"/>
          <reference field="5" count="0"/>
        </references>
      </pivotArea>
    </format>
    <format dxfId="238">
      <pivotArea field="3" type="button" dataOnly="0" labelOnly="1" outline="0" axis="axisRow" fieldPosition="0"/>
    </format>
    <format dxfId="237">
      <pivotArea field="3" type="button" dataOnly="0" labelOnly="1" outline="0" axis="axisRow" fieldPosition="0"/>
    </format>
    <format dxfId="236">
      <pivotArea field="3" type="button" dataOnly="0" labelOnly="1" outline="0" axis="axisRow" fieldPosition="0"/>
    </format>
    <format dxfId="235">
      <pivotArea field="3" type="button" dataOnly="0" labelOnly="1" outline="0" axis="axisRow" fieldPosition="0"/>
    </format>
    <format dxfId="234">
      <pivotArea outline="0" fieldPosition="0">
        <references count="1">
          <reference field="4294967294" count="1">
            <x v="0"/>
          </reference>
        </references>
      </pivotArea>
    </format>
    <format dxfId="233">
      <pivotArea outline="0" fieldPosition="0">
        <references count="1">
          <reference field="4294967294" count="1">
            <x v="0"/>
          </reference>
        </references>
      </pivotArea>
    </format>
    <format dxfId="232">
      <pivotArea outline="0" fieldPosition="0">
        <references count="1">
          <reference field="4294967294" count="1">
            <x v="1"/>
          </reference>
        </references>
      </pivotArea>
    </format>
    <format dxfId="231">
      <pivotArea outline="0" fieldPosition="0">
        <references count="1">
          <reference field="4294967294" count="1">
            <x v="2"/>
          </reference>
        </references>
      </pivotArea>
    </format>
    <format dxfId="230">
      <pivotArea dataOnly="0" labelOnly="1" outline="0" fieldPosition="0">
        <references count="1">
          <reference field="4294967294" count="3">
            <x v="0"/>
            <x v="1"/>
            <x v="2"/>
          </reference>
        </references>
      </pivotArea>
    </format>
    <format dxfId="229">
      <pivotArea dataOnly="0" labelOnly="1" outline="0" fieldPosition="0">
        <references count="1">
          <reference field="4294967294" count="3">
            <x v="0"/>
            <x v="1"/>
            <x v="2"/>
          </reference>
        </references>
      </pivotArea>
    </format>
    <format dxfId="228">
      <pivotArea dataOnly="0" labelOnly="1" outline="0" fieldPosition="0">
        <references count="1">
          <reference field="4294967294" count="3">
            <x v="0"/>
            <x v="1"/>
            <x v="2"/>
          </reference>
        </references>
      </pivotArea>
    </format>
    <format dxfId="227">
      <pivotArea collapsedLevelsAreSubtotals="1" fieldPosition="0">
        <references count="3">
          <reference field="4294967294" count="1" selected="0">
            <x v="0"/>
          </reference>
          <reference field="3" count="0" selected="0"/>
          <reference field="5" count="0"/>
        </references>
      </pivotArea>
    </format>
    <format dxfId="226">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2300-000000000000}"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8:D14" firstHeaderRow="0" firstDataRow="1" firstDataCol="1"/>
  <pivotFields count="77">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11">
        <item h="1" x="2"/>
        <item h="1" x="3"/>
        <item h="1" x="4"/>
        <item h="1" x="5"/>
        <item h="1" x="6"/>
        <item h="1" x="7"/>
        <item x="8"/>
        <item x="9"/>
        <item x="10"/>
        <item x="1"/>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6">
    <i>
      <x v="33"/>
    </i>
    <i r="1">
      <x v="6"/>
    </i>
    <i r="1">
      <x v="7"/>
    </i>
    <i r="1">
      <x v="8"/>
    </i>
    <i r="1">
      <x v="9"/>
    </i>
    <i r="1">
      <x v="10"/>
    </i>
  </rowItems>
  <colFields count="1">
    <field x="-2"/>
  </colFields>
  <colItems count="3">
    <i>
      <x/>
    </i>
    <i i="1">
      <x v="1"/>
    </i>
    <i i="2">
      <x v="2"/>
    </i>
  </colItems>
  <dataFields count="3">
    <dataField name="Presupuesto Reprogramado_x000a_(Gasto de Inversión)" fld="44" baseField="3" baseItem="33" numFmtId="167"/>
    <dataField name="Presupuesto Ejercido (Gasto de Inversión)" fld="43" baseField="3" baseItem="33" numFmtId="167"/>
    <dataField name="Evolución del Gasto de Inversión" fld="71" subtotal="average" baseField="5" baseItem="4" numFmtId="168"/>
  </dataFields>
  <formats count="50">
    <format dxfId="225">
      <pivotArea type="all" dataOnly="0" outline="0" fieldPosition="0"/>
    </format>
    <format dxfId="224">
      <pivotArea outline="0" collapsedLevelsAreSubtotals="1" fieldPosition="0"/>
    </format>
    <format dxfId="223">
      <pivotArea type="origin" dataOnly="0" labelOnly="1" outline="0" fieldPosition="0"/>
    </format>
    <format dxfId="222">
      <pivotArea field="5" type="button" dataOnly="0" labelOnly="1" outline="0" axis="axisRow" fieldPosition="1"/>
    </format>
    <format dxfId="221">
      <pivotArea type="topRight" dataOnly="0" labelOnly="1" outline="0" fieldPosition="0"/>
    </format>
    <format dxfId="220">
      <pivotArea field="3" type="button" dataOnly="0" labelOnly="1" outline="0" axis="axisRow" fieldPosition="0"/>
    </format>
    <format dxfId="219">
      <pivotArea dataOnly="0" labelOnly="1" fieldPosition="0">
        <references count="1">
          <reference field="3" count="0"/>
        </references>
      </pivotArea>
    </format>
    <format dxfId="218">
      <pivotArea dataOnly="0" labelOnly="1" grandRow="1" outline="0" fieldPosition="0"/>
    </format>
    <format dxfId="217">
      <pivotArea dataOnly="0" labelOnly="1" fieldPosition="0">
        <references count="1">
          <reference field="5" count="0"/>
        </references>
      </pivotArea>
    </format>
    <format dxfId="216">
      <pivotArea type="all" dataOnly="0" outline="0" fieldPosition="0"/>
    </format>
    <format dxfId="215">
      <pivotArea outline="0" collapsedLevelsAreSubtotals="1" fieldPosition="0"/>
    </format>
    <format dxfId="214">
      <pivotArea type="origin" dataOnly="0" labelOnly="1" outline="0" fieldPosition="0"/>
    </format>
    <format dxfId="213">
      <pivotArea field="5" type="button" dataOnly="0" labelOnly="1" outline="0" axis="axisRow" fieldPosition="1"/>
    </format>
    <format dxfId="212">
      <pivotArea type="topRight" dataOnly="0" labelOnly="1" outline="0" fieldPosition="0"/>
    </format>
    <format dxfId="211">
      <pivotArea field="3" type="button" dataOnly="0" labelOnly="1" outline="0" axis="axisRow" fieldPosition="0"/>
    </format>
    <format dxfId="210">
      <pivotArea dataOnly="0" labelOnly="1" fieldPosition="0">
        <references count="1">
          <reference field="3" count="0"/>
        </references>
      </pivotArea>
    </format>
    <format dxfId="209">
      <pivotArea dataOnly="0" labelOnly="1" grandRow="1" outline="0" fieldPosition="0"/>
    </format>
    <format dxfId="208">
      <pivotArea dataOnly="0" labelOnly="1" fieldPosition="0">
        <references count="1">
          <reference field="5" count="0"/>
        </references>
      </pivotArea>
    </format>
    <format dxfId="207">
      <pivotArea type="all" dataOnly="0" outline="0" fieldPosition="0"/>
    </format>
    <format dxfId="206">
      <pivotArea outline="0" collapsedLevelsAreSubtotals="1" fieldPosition="0"/>
    </format>
    <format dxfId="205">
      <pivotArea type="origin" dataOnly="0" labelOnly="1" outline="0" fieldPosition="0"/>
    </format>
    <format dxfId="204">
      <pivotArea field="5" type="button" dataOnly="0" labelOnly="1" outline="0" axis="axisRow" fieldPosition="1"/>
    </format>
    <format dxfId="203">
      <pivotArea type="topRight" dataOnly="0" labelOnly="1" outline="0" fieldPosition="0"/>
    </format>
    <format dxfId="202">
      <pivotArea field="0" type="button" dataOnly="0" labelOnly="1" outline="0"/>
    </format>
    <format dxfId="201">
      <pivotArea dataOnly="0" labelOnly="1" grandRow="1" outline="0" fieldPosition="0"/>
    </format>
    <format dxfId="200">
      <pivotArea dataOnly="0" labelOnly="1" fieldPosition="0">
        <references count="1">
          <reference field="5" count="0"/>
        </references>
      </pivotArea>
    </format>
    <format dxfId="199">
      <pivotArea type="origin" dataOnly="0" labelOnly="1" outline="0" fieldPosition="0"/>
    </format>
    <format dxfId="198">
      <pivotArea dataOnly="0" labelOnly="1" fieldPosition="0">
        <references count="1">
          <reference field="5" count="1">
            <x v="0"/>
          </reference>
        </references>
      </pivotArea>
    </format>
    <format dxfId="197">
      <pivotArea dataOnly="0" labelOnly="1" fieldPosition="0">
        <references count="2">
          <reference field="3" count="0" selected="0"/>
          <reference field="5" count="1">
            <x v="0"/>
          </reference>
        </references>
      </pivotArea>
    </format>
    <format dxfId="196">
      <pivotArea field="3" type="button" dataOnly="0" labelOnly="1" outline="0" axis="axisRow" fieldPosition="0"/>
    </format>
    <format dxfId="195">
      <pivotArea field="3" type="button" dataOnly="0" labelOnly="1" outline="0" axis="axisRow" fieldPosition="0"/>
    </format>
    <format dxfId="194">
      <pivotArea field="3" type="button" dataOnly="0" labelOnly="1" outline="0" axis="axisRow" fieldPosition="0"/>
    </format>
    <format dxfId="193">
      <pivotArea type="all" dataOnly="0" outline="0" fieldPosition="0"/>
    </format>
    <format dxfId="192">
      <pivotArea outline="0" collapsedLevelsAreSubtotals="1" fieldPosition="0"/>
    </format>
    <format dxfId="191">
      <pivotArea field="3" type="button" dataOnly="0" labelOnly="1" outline="0" axis="axisRow" fieldPosition="0"/>
    </format>
    <format dxfId="190">
      <pivotArea dataOnly="0" labelOnly="1" fieldPosition="0">
        <references count="1">
          <reference field="3" count="0"/>
        </references>
      </pivotArea>
    </format>
    <format dxfId="189">
      <pivotArea dataOnly="0" labelOnly="1" fieldPosition="0">
        <references count="2">
          <reference field="3" count="0" selected="0"/>
          <reference field="5" count="0"/>
        </references>
      </pivotArea>
    </format>
    <format dxfId="188">
      <pivotArea dataOnly="0" labelOnly="1" fieldPosition="0">
        <references count="2">
          <reference field="3" count="0" selected="0"/>
          <reference field="5" count="0"/>
        </references>
      </pivotArea>
    </format>
    <format dxfId="187">
      <pivotArea field="3" type="button" dataOnly="0" labelOnly="1" outline="0" axis="axisRow" fieldPosition="0"/>
    </format>
    <format dxfId="186">
      <pivotArea field="3" type="button" dataOnly="0" labelOnly="1" outline="0" axis="axisRow" fieldPosition="0"/>
    </format>
    <format dxfId="185">
      <pivotArea field="3" type="button" dataOnly="0" labelOnly="1" outline="0" axis="axisRow" fieldPosition="0"/>
    </format>
    <format dxfId="184">
      <pivotArea field="3" type="button" dataOnly="0" labelOnly="1" outline="0" axis="axisRow" fieldPosition="0"/>
    </format>
    <format dxfId="183">
      <pivotArea outline="0" fieldPosition="0">
        <references count="1">
          <reference field="4294967294" count="1">
            <x v="0"/>
          </reference>
        </references>
      </pivotArea>
    </format>
    <format dxfId="182">
      <pivotArea outline="0" fieldPosition="0">
        <references count="1">
          <reference field="4294967294" count="1">
            <x v="1"/>
          </reference>
        </references>
      </pivotArea>
    </format>
    <format dxfId="181">
      <pivotArea outline="0" fieldPosition="0">
        <references count="1">
          <reference field="4294967294" count="1">
            <x v="2"/>
          </reference>
        </references>
      </pivotArea>
    </format>
    <format dxfId="180">
      <pivotArea field="3" type="button" dataOnly="0" labelOnly="1" outline="0" axis="axisRow" fieldPosition="0"/>
    </format>
    <format dxfId="179">
      <pivotArea dataOnly="0" labelOnly="1" outline="0" fieldPosition="0">
        <references count="1">
          <reference field="4294967294" count="3">
            <x v="0"/>
            <x v="1"/>
            <x v="2"/>
          </reference>
        </references>
      </pivotArea>
    </format>
    <format dxfId="178">
      <pivotArea dataOnly="0" labelOnly="1" outline="0" fieldPosition="0">
        <references count="1">
          <reference field="4294967294" count="3">
            <x v="0"/>
            <x v="1"/>
            <x v="2"/>
          </reference>
        </references>
      </pivotArea>
    </format>
    <format dxfId="177">
      <pivotArea collapsedLevelsAreSubtotals="1" fieldPosition="0">
        <references count="3">
          <reference field="4294967294" count="1" selected="0">
            <x v="0"/>
          </reference>
          <reference field="3" count="0" selected="0"/>
          <reference field="5" count="0"/>
        </references>
      </pivotArea>
    </format>
    <format dxfId="176">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2400-000000000000}"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8:D14" firstHeaderRow="0" firstDataRow="1" firstDataCol="1"/>
  <pivotFields count="77">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11">
        <item h="1" x="2"/>
        <item h="1" x="3"/>
        <item h="1" x="4"/>
        <item h="1" x="5"/>
        <item h="1" x="6"/>
        <item h="1" x="7"/>
        <item x="8"/>
        <item x="9"/>
        <item x="10"/>
        <item x="1"/>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6">
    <i>
      <x v="33"/>
    </i>
    <i r="1">
      <x v="6"/>
    </i>
    <i r="1">
      <x v="7"/>
    </i>
    <i r="1">
      <x v="8"/>
    </i>
    <i r="1">
      <x v="9"/>
    </i>
    <i r="1">
      <x v="10"/>
    </i>
  </rowItems>
  <colFields count="1">
    <field x="-2"/>
  </colFields>
  <colItems count="3">
    <i>
      <x/>
    </i>
    <i i="1">
      <x v="1"/>
    </i>
    <i i="2">
      <x v="2"/>
    </i>
  </colItems>
  <dataFields count="3">
    <dataField name="Presupuesto Ejercido Total" fld="46" baseField="3" baseItem="33" numFmtId="167"/>
    <dataField name="Ingresos Propios ejercidos" fld="45" baseField="3" baseItem="33" numFmtId="167"/>
    <dataField name="Índice de Autofinancimiento" fld="72" subtotal="average" baseField="5" baseItem="4" numFmtId="168"/>
  </dataFields>
  <formats count="50">
    <format dxfId="175">
      <pivotArea type="all" dataOnly="0" outline="0" fieldPosition="0"/>
    </format>
    <format dxfId="174">
      <pivotArea outline="0" collapsedLevelsAreSubtotals="1" fieldPosition="0"/>
    </format>
    <format dxfId="173">
      <pivotArea type="origin" dataOnly="0" labelOnly="1" outline="0" fieldPosition="0"/>
    </format>
    <format dxfId="172">
      <pivotArea field="5" type="button" dataOnly="0" labelOnly="1" outline="0" axis="axisRow" fieldPosition="1"/>
    </format>
    <format dxfId="171">
      <pivotArea type="topRight" dataOnly="0" labelOnly="1" outline="0" fieldPosition="0"/>
    </format>
    <format dxfId="170">
      <pivotArea field="3" type="button" dataOnly="0" labelOnly="1" outline="0" axis="axisRow" fieldPosition="0"/>
    </format>
    <format dxfId="169">
      <pivotArea dataOnly="0" labelOnly="1" fieldPosition="0">
        <references count="1">
          <reference field="3" count="0"/>
        </references>
      </pivotArea>
    </format>
    <format dxfId="168">
      <pivotArea dataOnly="0" labelOnly="1" grandRow="1" outline="0" fieldPosition="0"/>
    </format>
    <format dxfId="167">
      <pivotArea dataOnly="0" labelOnly="1" fieldPosition="0">
        <references count="1">
          <reference field="5" count="0"/>
        </references>
      </pivotArea>
    </format>
    <format dxfId="166">
      <pivotArea type="all" dataOnly="0" outline="0" fieldPosition="0"/>
    </format>
    <format dxfId="165">
      <pivotArea outline="0" collapsedLevelsAreSubtotals="1" fieldPosition="0"/>
    </format>
    <format dxfId="164">
      <pivotArea type="origin" dataOnly="0" labelOnly="1" outline="0" fieldPosition="0"/>
    </format>
    <format dxfId="163">
      <pivotArea field="5" type="button" dataOnly="0" labelOnly="1" outline="0" axis="axisRow" fieldPosition="1"/>
    </format>
    <format dxfId="162">
      <pivotArea type="topRight" dataOnly="0" labelOnly="1" outline="0" fieldPosition="0"/>
    </format>
    <format dxfId="161">
      <pivotArea field="3" type="button" dataOnly="0" labelOnly="1" outline="0" axis="axisRow" fieldPosition="0"/>
    </format>
    <format dxfId="160">
      <pivotArea dataOnly="0" labelOnly="1" fieldPosition="0">
        <references count="1">
          <reference field="3" count="0"/>
        </references>
      </pivotArea>
    </format>
    <format dxfId="159">
      <pivotArea dataOnly="0" labelOnly="1" grandRow="1" outline="0" fieldPosition="0"/>
    </format>
    <format dxfId="158">
      <pivotArea dataOnly="0" labelOnly="1" fieldPosition="0">
        <references count="1">
          <reference field="5" count="0"/>
        </references>
      </pivotArea>
    </format>
    <format dxfId="157">
      <pivotArea type="all" dataOnly="0" outline="0" fieldPosition="0"/>
    </format>
    <format dxfId="156">
      <pivotArea outline="0" collapsedLevelsAreSubtotals="1" fieldPosition="0"/>
    </format>
    <format dxfId="155">
      <pivotArea type="origin" dataOnly="0" labelOnly="1" outline="0" fieldPosition="0"/>
    </format>
    <format dxfId="154">
      <pivotArea field="5" type="button" dataOnly="0" labelOnly="1" outline="0" axis="axisRow" fieldPosition="1"/>
    </format>
    <format dxfId="153">
      <pivotArea type="topRight" dataOnly="0" labelOnly="1" outline="0" fieldPosition="0"/>
    </format>
    <format dxfId="152">
      <pivotArea field="0" type="button" dataOnly="0" labelOnly="1" outline="0"/>
    </format>
    <format dxfId="151">
      <pivotArea dataOnly="0" labelOnly="1" grandRow="1" outline="0" fieldPosition="0"/>
    </format>
    <format dxfId="150">
      <pivotArea dataOnly="0" labelOnly="1" fieldPosition="0">
        <references count="1">
          <reference field="5" count="0"/>
        </references>
      </pivotArea>
    </format>
    <format dxfId="149">
      <pivotArea type="origin" dataOnly="0" labelOnly="1" outline="0" fieldPosition="0"/>
    </format>
    <format dxfId="148">
      <pivotArea dataOnly="0" labelOnly="1" fieldPosition="0">
        <references count="1">
          <reference field="5" count="1">
            <x v="0"/>
          </reference>
        </references>
      </pivotArea>
    </format>
    <format dxfId="147">
      <pivotArea dataOnly="0" labelOnly="1" fieldPosition="0">
        <references count="2">
          <reference field="3" count="0" selected="0"/>
          <reference field="5" count="1">
            <x v="0"/>
          </reference>
        </references>
      </pivotArea>
    </format>
    <format dxfId="146">
      <pivotArea field="3" type="button" dataOnly="0" labelOnly="1" outline="0" axis="axisRow" fieldPosition="0"/>
    </format>
    <format dxfId="145">
      <pivotArea field="3" type="button" dataOnly="0" labelOnly="1" outline="0" axis="axisRow" fieldPosition="0"/>
    </format>
    <format dxfId="144">
      <pivotArea field="3" type="button" dataOnly="0" labelOnly="1" outline="0" axis="axisRow" fieldPosition="0"/>
    </format>
    <format dxfId="143">
      <pivotArea type="all" dataOnly="0" outline="0" fieldPosition="0"/>
    </format>
    <format dxfId="142">
      <pivotArea outline="0" collapsedLevelsAreSubtotals="1" fieldPosition="0"/>
    </format>
    <format dxfId="141">
      <pivotArea field="3" type="button" dataOnly="0" labelOnly="1" outline="0" axis="axisRow" fieldPosition="0"/>
    </format>
    <format dxfId="140">
      <pivotArea dataOnly="0" labelOnly="1" fieldPosition="0">
        <references count="1">
          <reference field="3" count="0"/>
        </references>
      </pivotArea>
    </format>
    <format dxfId="139">
      <pivotArea dataOnly="0" labelOnly="1" fieldPosition="0">
        <references count="2">
          <reference field="3" count="0" selected="0"/>
          <reference field="5" count="0"/>
        </references>
      </pivotArea>
    </format>
    <format dxfId="138">
      <pivotArea dataOnly="0" labelOnly="1" fieldPosition="0">
        <references count="2">
          <reference field="3" count="0" selected="0"/>
          <reference field="5" count="0"/>
        </references>
      </pivotArea>
    </format>
    <format dxfId="137">
      <pivotArea field="3" type="button" dataOnly="0" labelOnly="1" outline="0" axis="axisRow" fieldPosition="0"/>
    </format>
    <format dxfId="136">
      <pivotArea field="3" type="button" dataOnly="0" labelOnly="1" outline="0" axis="axisRow" fieldPosition="0"/>
    </format>
    <format dxfId="135">
      <pivotArea field="3" type="button" dataOnly="0" labelOnly="1" outline="0" axis="axisRow" fieldPosition="0"/>
    </format>
    <format dxfId="134">
      <pivotArea field="3" type="button" dataOnly="0" labelOnly="1" outline="0" axis="axisRow" fieldPosition="0"/>
    </format>
    <format dxfId="133">
      <pivotArea field="3" type="button" dataOnly="0" labelOnly="1" outline="0" axis="axisRow" fieldPosition="0"/>
    </format>
    <format dxfId="132">
      <pivotArea outline="0" fieldPosition="0">
        <references count="1">
          <reference field="4294967294" count="1">
            <x v="0"/>
          </reference>
        </references>
      </pivotArea>
    </format>
    <format dxfId="131">
      <pivotArea outline="0" fieldPosition="0">
        <references count="1">
          <reference field="4294967294" count="1">
            <x v="1"/>
          </reference>
        </references>
      </pivotArea>
    </format>
    <format dxfId="130">
      <pivotArea outline="0" fieldPosition="0">
        <references count="1">
          <reference field="4294967294" count="1">
            <x v="2"/>
          </reference>
        </references>
      </pivotArea>
    </format>
    <format dxfId="129">
      <pivotArea dataOnly="0" labelOnly="1" outline="0" fieldPosition="0">
        <references count="1">
          <reference field="4294967294" count="3">
            <x v="0"/>
            <x v="1"/>
            <x v="2"/>
          </reference>
        </references>
      </pivotArea>
    </format>
    <format dxfId="128">
      <pivotArea dataOnly="0" labelOnly="1" outline="0" fieldPosition="0">
        <references count="1">
          <reference field="4294967294" count="3">
            <x v="0"/>
            <x v="1"/>
            <x v="2"/>
          </reference>
        </references>
      </pivotArea>
    </format>
    <format dxfId="127">
      <pivotArea collapsedLevelsAreSubtotals="1" fieldPosition="0">
        <references count="3">
          <reference field="4294967294" count="1" selected="0">
            <x v="0"/>
          </reference>
          <reference field="3" count="0" selected="0"/>
          <reference field="5" count="0"/>
        </references>
      </pivotArea>
    </format>
    <format dxfId="126">
      <pivotArea collapsedLevelsAreSubtotals="1" fieldPosition="0">
        <references count="3">
          <reference field="4294967294" count="1" selected="0">
            <x v="1"/>
          </reference>
          <reference field="3" count="0" selected="0"/>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2500-000000000000}"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8:D14" firstHeaderRow="0" firstDataRow="1" firstDataCol="1"/>
  <pivotFields count="77">
    <pivotField showAll="0" defaultSubtotal="0">
      <items count="3">
        <item x="0"/>
        <item x="1"/>
        <item x="2"/>
      </items>
    </pivotField>
    <pivotField showAll="0" defaultSubtotal="0"/>
    <pivotField showAll="0" defaultSubtotal="0"/>
    <pivotField axis="axisRow" showAll="0" defaultSubtotal="0">
      <items count="3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x="33"/>
      </items>
    </pivotField>
    <pivotField showAll="0" defaultSubtotal="0"/>
    <pivotField axis="axisRow" showAll="0" defaultSubtotal="0">
      <items count="11">
        <item h="1" x="2"/>
        <item h="1" x="3"/>
        <item h="1" x="4"/>
        <item h="1" x="5"/>
        <item h="1" x="6"/>
        <item h="1" x="7"/>
        <item x="8"/>
        <item x="9"/>
        <item x="10"/>
        <item x="1"/>
        <item x="0"/>
      </items>
    </pivotField>
    <pivotField numFmtId="3" showAll="0" defaultSubtotal="0"/>
    <pivotField numFmtId="3" showAll="0" defaultSubtotal="0"/>
    <pivotField numFmtId="3" showAll="0" defaultSubtotal="0"/>
    <pivotField numFmtId="3" showAll="0" defaultSubtotal="0"/>
    <pivotField numFmtId="3" showAll="0" defaultSubtotal="0"/>
    <pivotField showAll="0" defaultSubtotal="0"/>
    <pivotField showAll="0" defaultSubtotal="0"/>
    <pivotField numFmtId="3" showAll="0" defaultSubtotal="0"/>
    <pivotField numFmtId="3" showAll="0" defaultSubtotal="0"/>
    <pivotField showAll="0" defaultSubtotal="0"/>
    <pivotField numFmtId="3" showAll="0" defaultSubtotal="0"/>
    <pivotField numFmtId="3" showAll="0" defaultSubtota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3"/>
    <field x="5"/>
  </rowFields>
  <rowItems count="6">
    <i>
      <x v="33"/>
    </i>
    <i r="1">
      <x v="6"/>
    </i>
    <i r="1">
      <x v="7"/>
    </i>
    <i r="1">
      <x v="8"/>
    </i>
    <i r="1">
      <x v="9"/>
    </i>
    <i r="1">
      <x v="10"/>
    </i>
  </rowItems>
  <colFields count="1">
    <field x="-2"/>
  </colFields>
  <colItems count="3">
    <i>
      <x/>
    </i>
    <i i="1">
      <x v="1"/>
    </i>
    <i i="2">
      <x v="2"/>
    </i>
  </colItems>
  <dataFields count="3">
    <dataField name="Ingresos Propios Programados" fld="48" baseField="3" baseItem="33" numFmtId="167"/>
    <dataField name="Ingresos Propios captados" fld="47" baseField="3" baseItem="33" numFmtId="167"/>
    <dataField name="Captación de Ingresos Propios" fld="73" baseField="0" baseItem="0" numFmtId="167"/>
  </dataFields>
  <formats count="53">
    <format dxfId="125">
      <pivotArea type="all" dataOnly="0" outline="0" fieldPosition="0"/>
    </format>
    <format dxfId="124">
      <pivotArea outline="0" collapsedLevelsAreSubtotals="1" fieldPosition="0"/>
    </format>
    <format dxfId="123">
      <pivotArea type="origin" dataOnly="0" labelOnly="1" outline="0" fieldPosition="0"/>
    </format>
    <format dxfId="122">
      <pivotArea field="5" type="button" dataOnly="0" labelOnly="1" outline="0" axis="axisRow" fieldPosition="1"/>
    </format>
    <format dxfId="121">
      <pivotArea type="topRight" dataOnly="0" labelOnly="1" outline="0" fieldPosition="0"/>
    </format>
    <format dxfId="120">
      <pivotArea field="3" type="button" dataOnly="0" labelOnly="1" outline="0" axis="axisRow" fieldPosition="0"/>
    </format>
    <format dxfId="119">
      <pivotArea dataOnly="0" labelOnly="1" fieldPosition="0">
        <references count="1">
          <reference field="3" count="0"/>
        </references>
      </pivotArea>
    </format>
    <format dxfId="118">
      <pivotArea dataOnly="0" labelOnly="1" grandRow="1" outline="0" fieldPosition="0"/>
    </format>
    <format dxfId="117">
      <pivotArea dataOnly="0" labelOnly="1" fieldPosition="0">
        <references count="1">
          <reference field="5" count="0"/>
        </references>
      </pivotArea>
    </format>
    <format dxfId="116">
      <pivotArea type="all" dataOnly="0" outline="0" fieldPosition="0"/>
    </format>
    <format dxfId="115">
      <pivotArea outline="0" collapsedLevelsAreSubtotals="1" fieldPosition="0"/>
    </format>
    <format dxfId="114">
      <pivotArea type="origin" dataOnly="0" labelOnly="1" outline="0" fieldPosition="0"/>
    </format>
    <format dxfId="113">
      <pivotArea field="5" type="button" dataOnly="0" labelOnly="1" outline="0" axis="axisRow" fieldPosition="1"/>
    </format>
    <format dxfId="112">
      <pivotArea type="topRight" dataOnly="0" labelOnly="1" outline="0" fieldPosition="0"/>
    </format>
    <format dxfId="111">
      <pivotArea field="3" type="button" dataOnly="0" labelOnly="1" outline="0" axis="axisRow" fieldPosition="0"/>
    </format>
    <format dxfId="110">
      <pivotArea dataOnly="0" labelOnly="1" fieldPosition="0">
        <references count="1">
          <reference field="3" count="0"/>
        </references>
      </pivotArea>
    </format>
    <format dxfId="109">
      <pivotArea dataOnly="0" labelOnly="1" grandRow="1" outline="0" fieldPosition="0"/>
    </format>
    <format dxfId="108">
      <pivotArea dataOnly="0" labelOnly="1" fieldPosition="0">
        <references count="1">
          <reference field="5" count="0"/>
        </references>
      </pivotArea>
    </format>
    <format dxfId="107">
      <pivotArea type="all" dataOnly="0" outline="0" fieldPosition="0"/>
    </format>
    <format dxfId="106">
      <pivotArea outline="0" collapsedLevelsAreSubtotals="1" fieldPosition="0"/>
    </format>
    <format dxfId="105">
      <pivotArea type="origin" dataOnly="0" labelOnly="1" outline="0" fieldPosition="0"/>
    </format>
    <format dxfId="104">
      <pivotArea field="5" type="button" dataOnly="0" labelOnly="1" outline="0" axis="axisRow" fieldPosition="1"/>
    </format>
    <format dxfId="103">
      <pivotArea type="topRight" dataOnly="0" labelOnly="1" outline="0" fieldPosition="0"/>
    </format>
    <format dxfId="102">
      <pivotArea field="0" type="button" dataOnly="0" labelOnly="1" outline="0"/>
    </format>
    <format dxfId="101">
      <pivotArea dataOnly="0" labelOnly="1" grandRow="1" outline="0" fieldPosition="0"/>
    </format>
    <format dxfId="100">
      <pivotArea dataOnly="0" labelOnly="1" fieldPosition="0">
        <references count="1">
          <reference field="5" count="0"/>
        </references>
      </pivotArea>
    </format>
    <format dxfId="99">
      <pivotArea type="origin" dataOnly="0" labelOnly="1" outline="0" fieldPosition="0"/>
    </format>
    <format dxfId="98">
      <pivotArea dataOnly="0" labelOnly="1" fieldPosition="0">
        <references count="1">
          <reference field="5" count="1">
            <x v="0"/>
          </reference>
        </references>
      </pivotArea>
    </format>
    <format dxfId="97">
      <pivotArea dataOnly="0" labelOnly="1" fieldPosition="0">
        <references count="2">
          <reference field="3" count="0" selected="0"/>
          <reference field="5" count="1">
            <x v="0"/>
          </reference>
        </references>
      </pivotArea>
    </format>
    <format dxfId="96">
      <pivotArea field="3" type="button" dataOnly="0" labelOnly="1" outline="0" axis="axisRow" fieldPosition="0"/>
    </format>
    <format dxfId="95">
      <pivotArea field="3" type="button" dataOnly="0" labelOnly="1" outline="0" axis="axisRow" fieldPosition="0"/>
    </format>
    <format dxfId="94">
      <pivotArea field="3" type="button" dataOnly="0" labelOnly="1" outline="0" axis="axisRow" fieldPosition="0"/>
    </format>
    <format dxfId="93">
      <pivotArea type="all" dataOnly="0" outline="0" fieldPosition="0"/>
    </format>
    <format dxfId="92">
      <pivotArea outline="0" collapsedLevelsAreSubtotals="1" fieldPosition="0"/>
    </format>
    <format dxfId="91">
      <pivotArea field="3" type="button" dataOnly="0" labelOnly="1" outline="0" axis="axisRow" fieldPosition="0"/>
    </format>
    <format dxfId="90">
      <pivotArea dataOnly="0" labelOnly="1" fieldPosition="0">
        <references count="1">
          <reference field="3" count="0"/>
        </references>
      </pivotArea>
    </format>
    <format dxfId="89">
      <pivotArea dataOnly="0" labelOnly="1" fieldPosition="0">
        <references count="2">
          <reference field="3" count="0" selected="0"/>
          <reference field="5" count="0"/>
        </references>
      </pivotArea>
    </format>
    <format dxfId="88">
      <pivotArea dataOnly="0" labelOnly="1" fieldPosition="0">
        <references count="2">
          <reference field="3" count="0" selected="0"/>
          <reference field="5" count="0"/>
        </references>
      </pivotArea>
    </format>
    <format dxfId="87">
      <pivotArea field="3" type="button" dataOnly="0" labelOnly="1" outline="0" axis="axisRow" fieldPosition="0"/>
    </format>
    <format dxfId="86">
      <pivotArea field="3" type="button" dataOnly="0" labelOnly="1" outline="0" axis="axisRow" fieldPosition="0"/>
    </format>
    <format dxfId="85">
      <pivotArea field="3" type="button" dataOnly="0" labelOnly="1" outline="0" axis="axisRow" fieldPosition="0"/>
    </format>
    <format dxfId="84">
      <pivotArea field="3" type="button" dataOnly="0" labelOnly="1" outline="0" axis="axisRow" fieldPosition="0"/>
    </format>
    <format dxfId="83">
      <pivotArea field="3" type="button" dataOnly="0" labelOnly="1" outline="0" axis="axisRow" fieldPosition="0"/>
    </format>
    <format dxfId="82">
      <pivotArea outline="0" fieldPosition="0">
        <references count="1">
          <reference field="4294967294" count="1">
            <x v="0"/>
          </reference>
        </references>
      </pivotArea>
    </format>
    <format dxfId="81">
      <pivotArea outline="0" fieldPosition="0">
        <references count="1">
          <reference field="4294967294" count="1">
            <x v="1"/>
          </reference>
        </references>
      </pivotArea>
    </format>
    <format dxfId="80">
      <pivotArea dataOnly="0" labelOnly="1" outline="0" fieldPosition="0">
        <references count="1">
          <reference field="4294967294" count="3">
            <x v="0"/>
            <x v="1"/>
            <x v="2"/>
          </reference>
        </references>
      </pivotArea>
    </format>
    <format dxfId="79">
      <pivotArea dataOnly="0" labelOnly="1" outline="0" fieldPosition="0">
        <references count="1">
          <reference field="4294967294" count="3">
            <x v="0"/>
            <x v="1"/>
            <x v="2"/>
          </reference>
        </references>
      </pivotArea>
    </format>
    <format dxfId="78">
      <pivotArea collapsedLevelsAreSubtotals="1" fieldPosition="0">
        <references count="3">
          <reference field="4294967294" count="1" selected="0">
            <x v="0"/>
          </reference>
          <reference field="3" count="0" selected="0"/>
          <reference field="5" count="0"/>
        </references>
      </pivotArea>
    </format>
    <format dxfId="77">
      <pivotArea collapsedLevelsAreSubtotals="1" fieldPosition="0">
        <references count="3">
          <reference field="4294967294" count="1" selected="0">
            <x v="1"/>
          </reference>
          <reference field="3" count="0" selected="0"/>
          <reference field="5" count="0"/>
        </references>
      </pivotArea>
    </format>
    <format dxfId="76">
      <pivotArea collapsedLevelsAreSubtotals="1" fieldPosition="0">
        <references count="3">
          <reference field="4294967294" count="1" selected="0">
            <x v="2"/>
          </reference>
          <reference field="3" count="0" selected="0"/>
          <reference field="5" count="0"/>
        </references>
      </pivotArea>
    </format>
    <format dxfId="75">
      <pivotArea dataOnly="0" labelOnly="1" outline="0" fieldPosition="0">
        <references count="1">
          <reference field="4294967294" count="3">
            <x v="0"/>
            <x v="1"/>
            <x v="2"/>
          </reference>
        </references>
      </pivotArea>
    </format>
    <format dxfId="74">
      <pivotArea dataOnly="0" labelOnly="1" outline="0" fieldPosition="0">
        <references count="1">
          <reference field="4294967294" count="3">
            <x v="0"/>
            <x v="1"/>
            <x v="2"/>
          </reference>
        </references>
      </pivotArea>
    </format>
    <format dxfId="73">
      <pivotArea dataOnly="0" labelOnly="1" outline="0" fieldPosition="0">
        <references count="1">
          <reference field="4294967294" count="3">
            <x v="0"/>
            <x v="1"/>
            <x v="2"/>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2600-000000000000}" name="TablaDinámica7" cacheId="1"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8:H57" firstHeaderRow="1" firstDataRow="2" firstDataCol="1"/>
  <pivotFields count="76">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x="3"/>
        <item x="4"/>
        <item x="5"/>
        <item x="6"/>
        <item x="7"/>
        <item x="8"/>
        <item x="9"/>
        <item m="1" x="10"/>
        <item h="1" x="1"/>
        <item h="1"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7">
    <i>
      <x v="1"/>
    </i>
    <i>
      <x v="2"/>
    </i>
    <i>
      <x v="3"/>
    </i>
    <i>
      <x v="4"/>
    </i>
    <i>
      <x v="5"/>
    </i>
    <i>
      <x v="6"/>
    </i>
    <i>
      <x v="7"/>
    </i>
  </colItems>
  <dataFields count="1">
    <dataField name="Promedio de PCSINEMS" fld="66" subtotal="average" baseField="3" baseItem="1" numFmtId="164"/>
  </dataFields>
  <formats count="69">
    <format dxfId="72">
      <pivotArea type="all" dataOnly="0" outline="0" fieldPosition="0"/>
    </format>
    <format dxfId="71">
      <pivotArea outline="0" collapsedLevelsAreSubtotals="1" fieldPosition="0"/>
    </format>
    <format dxfId="70">
      <pivotArea type="origin" dataOnly="0" labelOnly="1" outline="0" fieldPosition="0"/>
    </format>
    <format dxfId="69">
      <pivotArea field="5" type="button" dataOnly="0" labelOnly="1" outline="0" axis="axisCol" fieldPosition="0"/>
    </format>
    <format dxfId="68">
      <pivotArea type="topRight" dataOnly="0" labelOnly="1" outline="0" fieldPosition="0"/>
    </format>
    <format dxfId="67">
      <pivotArea field="3" type="button" dataOnly="0" labelOnly="1" outline="0" axis="axisRow" fieldPosition="1"/>
    </format>
    <format dxfId="66">
      <pivotArea dataOnly="0" labelOnly="1" fieldPosition="0">
        <references count="1">
          <reference field="3" count="0"/>
        </references>
      </pivotArea>
    </format>
    <format dxfId="65">
      <pivotArea dataOnly="0" labelOnly="1" grandRow="1" outline="0" fieldPosition="0"/>
    </format>
    <format dxfId="64">
      <pivotArea dataOnly="0" labelOnly="1" fieldPosition="0">
        <references count="1">
          <reference field="5" count="0"/>
        </references>
      </pivotArea>
    </format>
    <format dxfId="63">
      <pivotArea type="all" dataOnly="0" outline="0" fieldPosition="0"/>
    </format>
    <format dxfId="62">
      <pivotArea outline="0" collapsedLevelsAreSubtotals="1" fieldPosition="0"/>
    </format>
    <format dxfId="61">
      <pivotArea type="origin" dataOnly="0" labelOnly="1" outline="0" fieldPosition="0"/>
    </format>
    <format dxfId="60">
      <pivotArea field="5" type="button" dataOnly="0" labelOnly="1" outline="0" axis="axisCol" fieldPosition="0"/>
    </format>
    <format dxfId="59">
      <pivotArea type="topRight" dataOnly="0" labelOnly="1" outline="0" fieldPosition="0"/>
    </format>
    <format dxfId="58">
      <pivotArea field="3" type="button" dataOnly="0" labelOnly="1" outline="0" axis="axisRow" fieldPosition="1"/>
    </format>
    <format dxfId="57">
      <pivotArea dataOnly="0" labelOnly="1" fieldPosition="0">
        <references count="1">
          <reference field="3" count="0"/>
        </references>
      </pivotArea>
    </format>
    <format dxfId="56">
      <pivotArea dataOnly="0" labelOnly="1" grandRow="1" outline="0" fieldPosition="0"/>
    </format>
    <format dxfId="55">
      <pivotArea dataOnly="0" labelOnly="1" fieldPosition="0">
        <references count="1">
          <reference field="5" count="0"/>
        </references>
      </pivotArea>
    </format>
    <format dxfId="54">
      <pivotArea type="all" dataOnly="0" outline="0" fieldPosition="0"/>
    </format>
    <format dxfId="53">
      <pivotArea outline="0" collapsedLevelsAreSubtotals="1" fieldPosition="0"/>
    </format>
    <format dxfId="52">
      <pivotArea type="origin" dataOnly="0" labelOnly="1" outline="0" fieldPosition="0"/>
    </format>
    <format dxfId="51">
      <pivotArea field="5" type="button" dataOnly="0" labelOnly="1" outline="0" axis="axisCol" fieldPosition="0"/>
    </format>
    <format dxfId="50">
      <pivotArea type="topRight" dataOnly="0" labelOnly="1" outline="0" fieldPosition="0"/>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grandRow="1" outline="0" fieldPosition="0"/>
    </format>
    <format dxfId="46">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45">
      <pivotArea dataOnly="0" labelOnly="1" fieldPosition="0">
        <references count="2">
          <reference field="0" count="1" selected="0">
            <x v="1"/>
          </reference>
          <reference field="3" count="2">
            <x v="6"/>
            <x v="19"/>
          </reference>
        </references>
      </pivotArea>
    </format>
    <format dxfId="44">
      <pivotArea dataOnly="0" labelOnly="1" fieldPosition="0">
        <references count="1">
          <reference field="5" count="0"/>
        </references>
      </pivotArea>
    </format>
    <format dxfId="43">
      <pivotArea type="origin" dataOnly="0" labelOnly="1" outline="0" fieldPosition="0"/>
    </format>
    <format dxfId="42">
      <pivotArea collapsedLevelsAreSubtotals="1" fieldPosition="0">
        <references count="1">
          <reference field="0" count="1">
            <x v="1"/>
          </reference>
        </references>
      </pivotArea>
    </format>
    <format dxfId="41">
      <pivotArea collapsedLevelsAreSubtotals="1" fieldPosition="0">
        <references count="1">
          <reference field="0" count="1">
            <x v="1"/>
          </reference>
        </references>
      </pivotArea>
    </format>
    <format dxfId="40">
      <pivotArea collapsedLevelsAreSubtotals="1" fieldPosition="0">
        <references count="1">
          <reference field="0" count="1">
            <x v="1"/>
          </reference>
        </references>
      </pivotArea>
    </format>
    <format dxfId="39">
      <pivotArea collapsedLevelsAreSubtotals="1" fieldPosition="0">
        <references count="2">
          <reference field="0" count="1">
            <x v="0"/>
          </reference>
          <reference field="5" count="1" selected="0">
            <x v="0"/>
          </reference>
        </references>
      </pivotArea>
    </format>
    <format dxfId="38">
      <pivotArea collapsedLevelsAreSubtotals="1" fieldPosition="0">
        <references count="3">
          <reference field="0" count="1" selected="0">
            <x v="0"/>
          </reference>
          <reference field="3" count="1">
            <x v="1"/>
          </reference>
          <reference field="5" count="1" selected="0">
            <x v="0"/>
          </reference>
        </references>
      </pivotArea>
    </format>
    <format dxfId="37">
      <pivotArea collapsedLevelsAreSubtotals="1" fieldPosition="0">
        <references count="3">
          <reference field="0" count="1" selected="0">
            <x v="0"/>
          </reference>
          <reference field="3" count="1">
            <x v="3"/>
          </reference>
          <reference field="5" count="1" selected="0">
            <x v="0"/>
          </reference>
        </references>
      </pivotArea>
    </format>
    <format dxfId="36">
      <pivotArea collapsedLevelsAreSubtotals="1" fieldPosition="0">
        <references count="3">
          <reference field="0" count="1" selected="0">
            <x v="0"/>
          </reference>
          <reference field="3" count="1">
            <x v="5"/>
          </reference>
          <reference field="5" count="1" selected="0">
            <x v="0"/>
          </reference>
        </references>
      </pivotArea>
    </format>
    <format dxfId="35">
      <pivotArea collapsedLevelsAreSubtotals="1" fieldPosition="0">
        <references count="3">
          <reference field="0" count="1" selected="0">
            <x v="0"/>
          </reference>
          <reference field="3" count="1">
            <x v="8"/>
          </reference>
          <reference field="5" count="1" selected="0">
            <x v="0"/>
          </reference>
        </references>
      </pivotArea>
    </format>
    <format dxfId="34">
      <pivotArea collapsedLevelsAreSubtotals="1" fieldPosition="0">
        <references count="3">
          <reference field="0" count="1" selected="0">
            <x v="0"/>
          </reference>
          <reference field="3" count="1">
            <x v="10"/>
          </reference>
          <reference field="5" count="1" selected="0">
            <x v="0"/>
          </reference>
        </references>
      </pivotArea>
    </format>
    <format dxfId="33">
      <pivotArea collapsedLevelsAreSubtotals="1" fieldPosition="0">
        <references count="3">
          <reference field="0" count="1" selected="0">
            <x v="0"/>
          </reference>
          <reference field="3" count="1">
            <x v="12"/>
          </reference>
          <reference field="5" count="1" selected="0">
            <x v="0"/>
          </reference>
        </references>
      </pivotArea>
    </format>
    <format dxfId="32">
      <pivotArea collapsedLevelsAreSubtotals="1" fieldPosition="0">
        <references count="3">
          <reference field="0" count="1" selected="0">
            <x v="0"/>
          </reference>
          <reference field="3" count="1">
            <x v="14"/>
          </reference>
          <reference field="5" count="1" selected="0">
            <x v="0"/>
          </reference>
        </references>
      </pivotArea>
    </format>
    <format dxfId="31">
      <pivotArea collapsedLevelsAreSubtotals="1" fieldPosition="0">
        <references count="3">
          <reference field="0" count="1" selected="0">
            <x v="0"/>
          </reference>
          <reference field="3" count="1">
            <x v="16"/>
          </reference>
          <reference field="5" count="1" selected="0">
            <x v="0"/>
          </reference>
        </references>
      </pivotArea>
    </format>
    <format dxfId="30">
      <pivotArea collapsedLevelsAreSubtotals="1" fieldPosition="0">
        <references count="3">
          <reference field="0" count="1" selected="0">
            <x v="0"/>
          </reference>
          <reference field="3" count="1">
            <x v="18"/>
          </reference>
          <reference field="5" count="1" selected="0">
            <x v="0"/>
          </reference>
        </references>
      </pivotArea>
    </format>
    <format dxfId="29">
      <pivotArea collapsedLevelsAreSubtotals="1" fieldPosition="0">
        <references count="3">
          <reference field="0" count="1" selected="0">
            <x v="0"/>
          </reference>
          <reference field="3" count="1">
            <x v="21"/>
          </reference>
          <reference field="5" count="1" selected="0">
            <x v="0"/>
          </reference>
        </references>
      </pivotArea>
    </format>
    <format dxfId="28">
      <pivotArea collapsedLevelsAreSubtotals="1" fieldPosition="0">
        <references count="3">
          <reference field="0" count="1" selected="0">
            <x v="0"/>
          </reference>
          <reference field="3" count="1">
            <x v="23"/>
          </reference>
          <reference field="5" count="1" selected="0">
            <x v="0"/>
          </reference>
        </references>
      </pivotArea>
    </format>
    <format dxfId="27">
      <pivotArea collapsedLevelsAreSubtotals="1" fieldPosition="0">
        <references count="3">
          <reference field="0" count="1" selected="0">
            <x v="0"/>
          </reference>
          <reference field="3" count="1">
            <x v="25"/>
          </reference>
          <reference field="5" count="1" selected="0">
            <x v="0"/>
          </reference>
        </references>
      </pivotArea>
    </format>
    <format dxfId="26">
      <pivotArea collapsedLevelsAreSubtotals="1" fieldPosition="0">
        <references count="3">
          <reference field="0" count="1" selected="0">
            <x v="0"/>
          </reference>
          <reference field="3" count="1">
            <x v="27"/>
          </reference>
          <reference field="5" count="1" selected="0">
            <x v="0"/>
          </reference>
        </references>
      </pivotArea>
    </format>
    <format dxfId="25">
      <pivotArea collapsedLevelsAreSubtotals="1" fieldPosition="0">
        <references count="3">
          <reference field="0" count="1" selected="0">
            <x v="0"/>
          </reference>
          <reference field="3" count="1">
            <x v="29"/>
          </reference>
          <reference field="5" count="1" selected="0">
            <x v="0"/>
          </reference>
        </references>
      </pivotArea>
    </format>
    <format dxfId="24">
      <pivotArea collapsedLevelsAreSubtotals="1" fieldPosition="0">
        <references count="3">
          <reference field="0" count="1" selected="0">
            <x v="0"/>
          </reference>
          <reference field="3" count="1">
            <x v="31"/>
          </reference>
          <reference field="5" count="1" selected="0">
            <x v="0"/>
          </reference>
        </references>
      </pivotArea>
    </format>
    <format dxfId="23">
      <pivotArea collapsedLevelsAreSubtotals="1" fieldPosition="0">
        <references count="3">
          <reference field="0" count="1" selected="0">
            <x v="1"/>
          </reference>
          <reference field="3" count="1">
            <x v="6"/>
          </reference>
          <reference field="5" count="1" selected="0">
            <x v="0"/>
          </reference>
        </references>
      </pivotArea>
    </format>
    <format dxfId="22">
      <pivotArea collapsedLevelsAreSubtotals="1" fieldPosition="0">
        <references count="3">
          <reference field="0" count="1" selected="0">
            <x v="0"/>
          </reference>
          <reference field="3" count="1">
            <x v="0"/>
          </reference>
          <reference field="5" count="1" selected="0">
            <x v="0"/>
          </reference>
        </references>
      </pivotArea>
    </format>
    <format dxfId="21">
      <pivotArea collapsedLevelsAreSubtotals="1" fieldPosition="0">
        <references count="3">
          <reference field="0" count="1" selected="0">
            <x v="0"/>
          </reference>
          <reference field="3" count="1">
            <x v="2"/>
          </reference>
          <reference field="5" count="1" selected="0">
            <x v="0"/>
          </reference>
        </references>
      </pivotArea>
    </format>
    <format dxfId="20">
      <pivotArea collapsedLevelsAreSubtotals="1" fieldPosition="0">
        <references count="3">
          <reference field="0" count="1" selected="0">
            <x v="0"/>
          </reference>
          <reference field="3" count="1">
            <x v="4"/>
          </reference>
          <reference field="5" count="1" selected="0">
            <x v="0"/>
          </reference>
        </references>
      </pivotArea>
    </format>
    <format dxfId="19">
      <pivotArea collapsedLevelsAreSubtotals="1" fieldPosition="0">
        <references count="3">
          <reference field="0" count="1" selected="0">
            <x v="0"/>
          </reference>
          <reference field="3" count="1">
            <x v="7"/>
          </reference>
          <reference field="5" count="1" selected="0">
            <x v="0"/>
          </reference>
        </references>
      </pivotArea>
    </format>
    <format dxfId="18">
      <pivotArea collapsedLevelsAreSubtotals="1" fieldPosition="0">
        <references count="3">
          <reference field="0" count="1" selected="0">
            <x v="0"/>
          </reference>
          <reference field="3" count="1">
            <x v="9"/>
          </reference>
          <reference field="5" count="1" selected="0">
            <x v="0"/>
          </reference>
        </references>
      </pivotArea>
    </format>
    <format dxfId="17">
      <pivotArea collapsedLevelsAreSubtotals="1" fieldPosition="0">
        <references count="3">
          <reference field="0" count="1" selected="0">
            <x v="0"/>
          </reference>
          <reference field="3" count="1">
            <x v="11"/>
          </reference>
          <reference field="5" count="1" selected="0">
            <x v="0"/>
          </reference>
        </references>
      </pivotArea>
    </format>
    <format dxfId="16">
      <pivotArea collapsedLevelsAreSubtotals="1" fieldPosition="0">
        <references count="3">
          <reference field="0" count="1" selected="0">
            <x v="0"/>
          </reference>
          <reference field="3" count="1">
            <x v="13"/>
          </reference>
          <reference field="5" count="1" selected="0">
            <x v="0"/>
          </reference>
        </references>
      </pivotArea>
    </format>
    <format dxfId="15">
      <pivotArea collapsedLevelsAreSubtotals="1" fieldPosition="0">
        <references count="3">
          <reference field="0" count="1" selected="0">
            <x v="0"/>
          </reference>
          <reference field="3" count="1">
            <x v="15"/>
          </reference>
          <reference field="5" count="1" selected="0">
            <x v="0"/>
          </reference>
        </references>
      </pivotArea>
    </format>
    <format dxfId="14">
      <pivotArea collapsedLevelsAreSubtotals="1" fieldPosition="0">
        <references count="3">
          <reference field="0" count="1" selected="0">
            <x v="0"/>
          </reference>
          <reference field="3" count="1">
            <x v="17"/>
          </reference>
          <reference field="5" count="1" selected="0">
            <x v="0"/>
          </reference>
        </references>
      </pivotArea>
    </format>
    <format dxfId="13">
      <pivotArea collapsedLevelsAreSubtotals="1" fieldPosition="0">
        <references count="3">
          <reference field="0" count="1" selected="0">
            <x v="0"/>
          </reference>
          <reference field="3" count="1">
            <x v="20"/>
          </reference>
          <reference field="5" count="1" selected="0">
            <x v="0"/>
          </reference>
        </references>
      </pivotArea>
    </format>
    <format dxfId="12">
      <pivotArea collapsedLevelsAreSubtotals="1" fieldPosition="0">
        <references count="3">
          <reference field="0" count="1" selected="0">
            <x v="0"/>
          </reference>
          <reference field="3" count="1">
            <x v="22"/>
          </reference>
          <reference field="5" count="1" selected="0">
            <x v="0"/>
          </reference>
        </references>
      </pivotArea>
    </format>
    <format dxfId="11">
      <pivotArea collapsedLevelsAreSubtotals="1" fieldPosition="0">
        <references count="3">
          <reference field="0" count="1" selected="0">
            <x v="0"/>
          </reference>
          <reference field="3" count="1">
            <x v="24"/>
          </reference>
          <reference field="5" count="1" selected="0">
            <x v="0"/>
          </reference>
        </references>
      </pivotArea>
    </format>
    <format dxfId="10">
      <pivotArea collapsedLevelsAreSubtotals="1" fieldPosition="0">
        <references count="3">
          <reference field="0" count="1" selected="0">
            <x v="0"/>
          </reference>
          <reference field="3" count="1">
            <x v="26"/>
          </reference>
          <reference field="5" count="1" selected="0">
            <x v="0"/>
          </reference>
        </references>
      </pivotArea>
    </format>
    <format dxfId="9">
      <pivotArea collapsedLevelsAreSubtotals="1" fieldPosition="0">
        <references count="3">
          <reference field="0" count="1" selected="0">
            <x v="0"/>
          </reference>
          <reference field="3" count="1">
            <x v="28"/>
          </reference>
          <reference field="5" count="1" selected="0">
            <x v="0"/>
          </reference>
        </references>
      </pivotArea>
    </format>
    <format dxfId="8">
      <pivotArea collapsedLevelsAreSubtotals="1" fieldPosition="0">
        <references count="3">
          <reference field="0" count="1" selected="0">
            <x v="0"/>
          </reference>
          <reference field="3" count="1">
            <x v="30"/>
          </reference>
          <reference field="5" count="1" selected="0">
            <x v="0"/>
          </reference>
        </references>
      </pivotArea>
    </format>
    <format dxfId="7">
      <pivotArea collapsedLevelsAreSubtotals="1" fieldPosition="0">
        <references count="2">
          <reference field="0" count="1">
            <x v="1"/>
          </reference>
          <reference field="5" count="1" selected="0">
            <x v="0"/>
          </reference>
        </references>
      </pivotArea>
    </format>
    <format dxfId="6">
      <pivotArea collapsedLevelsAreSubtotals="1" fieldPosition="0">
        <references count="3">
          <reference field="0" count="1" selected="0">
            <x v="1"/>
          </reference>
          <reference field="3" count="1">
            <x v="19"/>
          </reference>
          <reference field="5" count="1" selected="0">
            <x v="0"/>
          </reference>
        </references>
      </pivotArea>
    </format>
    <format dxfId="5">
      <pivotArea dataOnly="0" labelOnly="1" fieldPosition="0">
        <references count="1">
          <reference field="5" count="1">
            <x v="0"/>
          </reference>
        </references>
      </pivotArea>
    </format>
    <format dxfId="4">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AC4750F-BCE8-407E-9BE2-C262C08EBDEC}" name="TablaDinámica7" cacheId="0" applyNumberFormats="0" applyBorderFormats="0" applyFontFormats="0" applyPatternFormats="0" applyAlignmentFormats="0" applyWidthHeightFormats="1" dataCaption="Valores" errorCaption="-" showError="1" missingCaption="-" updatedVersion="6" minRefreshableVersion="3" rowGrandTotals="0" colGrandTotals="0" itemPrintTitles="1" createdVersion="6" indent="0" outline="1" outlineData="1" multipleFieldFilters="0" rowHeaderCaption="Año" colHeaderCaption="Año">
  <location ref="A3:T8" firstHeaderRow="0" firstDataRow="1" firstDataCol="1" rowPageCount="1" colPageCount="1"/>
  <pivotFields count="77">
    <pivotField showAll="0">
      <items count="4">
        <item x="0"/>
        <item x="1"/>
        <item x="2"/>
        <item t="default"/>
      </items>
    </pivotField>
    <pivotField showAll="0"/>
    <pivotField showAll="0"/>
    <pivotField axis="axisPage" multipleItemSelectionAllowed="1"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Row" showAll="0">
      <items count="12">
        <item h="1" x="2"/>
        <item h="1" x="3"/>
        <item h="1" x="4"/>
        <item h="1" x="5"/>
        <item h="1" x="6"/>
        <item h="1" x="7"/>
        <item x="8"/>
        <item x="9"/>
        <item x="10"/>
        <item x="1"/>
        <item x="0"/>
        <item t="default"/>
      </items>
    </pivotField>
    <pivotField dataField="1"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pivotField showAll="0"/>
    <pivotField dataField="1" showAl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1">
    <field x="5"/>
  </rowFields>
  <rowItems count="5">
    <i>
      <x v="6"/>
    </i>
    <i>
      <x v="7"/>
    </i>
    <i>
      <x v="8"/>
    </i>
    <i>
      <x v="9"/>
    </i>
    <i>
      <x v="10"/>
    </i>
  </rowItems>
  <colFields count="1">
    <field x="-2"/>
  </colFields>
  <colItems count="19">
    <i>
      <x/>
    </i>
    <i i="1">
      <x v="1"/>
    </i>
    <i i="2">
      <x v="2"/>
    </i>
    <i i="3">
      <x v="3"/>
    </i>
    <i i="4">
      <x v="4"/>
    </i>
    <i i="5">
      <x v="5"/>
    </i>
    <i i="6">
      <x v="6"/>
    </i>
    <i i="7">
      <x v="7"/>
    </i>
    <i i="8">
      <x v="8"/>
    </i>
    <i i="9">
      <x v="9"/>
    </i>
    <i i="10">
      <x v="10"/>
    </i>
    <i i="11">
      <x v="11"/>
    </i>
    <i i="12">
      <x v="12"/>
    </i>
    <i i="13">
      <x v="13"/>
    </i>
    <i i="14">
      <x v="14"/>
    </i>
    <i i="15">
      <x v="15"/>
    </i>
    <i i="16">
      <x v="16"/>
    </i>
    <i i="17">
      <x v="17"/>
    </i>
    <i i="18">
      <x v="18"/>
    </i>
  </colItems>
  <pageFields count="1">
    <pageField fld="3" hier="-1"/>
  </pageFields>
  <dataFields count="19">
    <dataField name="_COB" fld="53" subtotal="average" baseField="5" baseItem="0" numFmtId="2"/>
    <dataField name="_ATN" fld="54" subtotal="average" baseField="5" baseItem="0" numFmtId="4"/>
    <dataField name="_ABS" fld="55" subtotal="average" baseField="5" baseItem="0" numFmtId="2"/>
    <dataField name="_MAT" fld="6" baseField="5" baseItem="0" numFmtId="3"/>
    <dataField name="_ACI" fld="56" subtotal="average" baseField="5" baseItem="6" numFmtId="2"/>
    <dataField name="_AE" fld="51" subtotal="average" baseField="5" baseItem="0" numFmtId="164"/>
    <dataField name="_REP" fld="57" subtotal="average" baseField="5" baseItem="1" numFmtId="164"/>
    <dataField name="_ET" fld="60" subtotal="average" baseField="5" baseItem="0" numFmtId="164"/>
    <dataField name="_TIT" fld="52" subtotal="average" baseField="5" baseItem="0" numFmtId="164"/>
    <dataField name="_COSTO" fld="59" baseField="5" baseItem="5" numFmtId="169"/>
    <dataField name="_ADOC" fld="61" subtotal="average" baseField="5" baseItem="0" numFmtId="3"/>
    <dataField name="_BECAS" fld="62" subtotal="average" baseField="5" baseItem="0" numFmtId="165"/>
    <dataField name="_CAP" fld="28" baseField="5" baseItem="0" numFmtId="3"/>
    <dataField name="_SERVTEC" fld="34" baseField="5" baseItem="0" numFmtId="3"/>
    <dataField name="_CERTIFIC" fld="33" baseField="5" baseItem="0" numFmtId="3"/>
    <dataField name="_EVALU" fld="32" baseField="5" baseItem="10"/>
    <dataField name="_BECEXT" fld="65" subtotal="average" baseField="5" baseItem="0" numFmtId="164"/>
    <dataField name="_APC" fld="63" baseField="5" baseItem="10" numFmtId="3"/>
    <dataField name="_ACOLO" fld="76" baseField="5" baseItem="10" numFmtId="164"/>
  </dataFields>
  <formats count="53">
    <format dxfId="1522">
      <pivotArea type="all" dataOnly="0" outline="0" fieldPosition="0"/>
    </format>
    <format dxfId="1521">
      <pivotArea outline="0" collapsedLevelsAreSubtotals="1" fieldPosition="0"/>
    </format>
    <format dxfId="1520">
      <pivotArea type="origin" dataOnly="0" labelOnly="1" outline="0" fieldPosition="0"/>
    </format>
    <format dxfId="1519">
      <pivotArea field="5" type="button" dataOnly="0" labelOnly="1" outline="0" axis="axisRow" fieldPosition="0"/>
    </format>
    <format dxfId="1518">
      <pivotArea type="topRight" dataOnly="0" labelOnly="1" outline="0" fieldPosition="0"/>
    </format>
    <format dxfId="1517">
      <pivotArea field="3" type="button" dataOnly="0" labelOnly="1" outline="0" axis="axisPage" fieldPosition="0"/>
    </format>
    <format dxfId="1516">
      <pivotArea dataOnly="0" labelOnly="1" grandRow="1" outline="0" fieldPosition="0"/>
    </format>
    <format dxfId="1515">
      <pivotArea type="all" dataOnly="0" outline="0" fieldPosition="0"/>
    </format>
    <format dxfId="1514">
      <pivotArea outline="0" collapsedLevelsAreSubtotals="1" fieldPosition="0"/>
    </format>
    <format dxfId="1513">
      <pivotArea type="origin" dataOnly="0" labelOnly="1" outline="0" fieldPosition="0"/>
    </format>
    <format dxfId="1512">
      <pivotArea field="5" type="button" dataOnly="0" labelOnly="1" outline="0" axis="axisRow" fieldPosition="0"/>
    </format>
    <format dxfId="1511">
      <pivotArea type="topRight" dataOnly="0" labelOnly="1" outline="0" fieldPosition="0"/>
    </format>
    <format dxfId="1510">
      <pivotArea field="3" type="button" dataOnly="0" labelOnly="1" outline="0" axis="axisPage" fieldPosition="0"/>
    </format>
    <format dxfId="1509">
      <pivotArea dataOnly="0" labelOnly="1" grandRow="1" outline="0" fieldPosition="0"/>
    </format>
    <format dxfId="1508">
      <pivotArea type="all" dataOnly="0" outline="0" fieldPosition="0"/>
    </format>
    <format dxfId="1507">
      <pivotArea outline="0" collapsedLevelsAreSubtotals="1" fieldPosition="0"/>
    </format>
    <format dxfId="1506">
      <pivotArea type="origin" dataOnly="0" labelOnly="1" outline="0" fieldPosition="0"/>
    </format>
    <format dxfId="1505">
      <pivotArea field="5" type="button" dataOnly="0" labelOnly="1" outline="0" axis="axisRow" fieldPosition="0"/>
    </format>
    <format dxfId="1504">
      <pivotArea type="topRight" dataOnly="0" labelOnly="1" outline="0" fieldPosition="0"/>
    </format>
    <format dxfId="1503">
      <pivotArea field="0" type="button" dataOnly="0" labelOnly="1" outline="0"/>
    </format>
    <format dxfId="1502">
      <pivotArea dataOnly="0" labelOnly="1" grandRow="1" outline="0" fieldPosition="0"/>
    </format>
    <format dxfId="1501">
      <pivotArea type="origin" dataOnly="0" labelOnly="1" outline="0" fieldPosition="0"/>
    </format>
    <format dxfId="1500">
      <pivotArea outline="0" fieldPosition="0">
        <references count="1">
          <reference field="4294967294" count="1">
            <x v="1"/>
          </reference>
        </references>
      </pivotArea>
    </format>
    <format dxfId="1499">
      <pivotArea outline="0" fieldPosition="0">
        <references count="1">
          <reference field="4294967294" count="1">
            <x v="0"/>
          </reference>
        </references>
      </pivotArea>
    </format>
    <format dxfId="1498">
      <pivotArea field="5" type="button" dataOnly="0" labelOnly="1" outline="0" axis="axisRow" fieldPosition="0"/>
    </format>
    <format dxfId="1497">
      <pivotArea dataOnly="0" labelOnly="1" outline="0" fieldPosition="0">
        <references count="1">
          <reference field="4294967294" count="2">
            <x v="0"/>
            <x v="1"/>
          </reference>
        </references>
      </pivotArea>
    </format>
    <format dxfId="1496">
      <pivotArea field="5" type="button" dataOnly="0" labelOnly="1" outline="0" axis="axisRow" fieldPosition="0"/>
    </format>
    <format dxfId="1495">
      <pivotArea outline="0" fieldPosition="0">
        <references count="1">
          <reference field="4294967294" count="1">
            <x v="2"/>
          </reference>
        </references>
      </pivotArea>
    </format>
    <format dxfId="1494">
      <pivotArea outline="0" fieldPosition="0">
        <references count="1">
          <reference field="4294967294" count="1">
            <x v="3"/>
          </reference>
        </references>
      </pivotArea>
    </format>
    <format dxfId="1493">
      <pivotArea outline="0" fieldPosition="0">
        <references count="1">
          <reference field="4294967294" count="1">
            <x v="4"/>
          </reference>
        </references>
      </pivotArea>
    </format>
    <format dxfId="1492">
      <pivotArea outline="0" fieldPosition="0">
        <references count="1">
          <reference field="4294967294" count="1">
            <x v="5"/>
          </reference>
        </references>
      </pivotArea>
    </format>
    <format dxfId="1491">
      <pivotArea dataOnly="0" labelOnly="1" outline="0" fieldPosition="0">
        <references count="1">
          <reference field="4294967294" count="6">
            <x v="0"/>
            <x v="1"/>
            <x v="2"/>
            <x v="3"/>
            <x v="4"/>
            <x v="5"/>
          </reference>
        </references>
      </pivotArea>
    </format>
    <format dxfId="1490">
      <pivotArea dataOnly="0" labelOnly="1" outline="0" fieldPosition="0">
        <references count="1">
          <reference field="4294967294" count="6">
            <x v="0"/>
            <x v="1"/>
            <x v="2"/>
            <x v="3"/>
            <x v="4"/>
            <x v="5"/>
          </reference>
        </references>
      </pivotArea>
    </format>
    <format dxfId="1489">
      <pivotArea outline="0" fieldPosition="0">
        <references count="1">
          <reference field="4294967294" count="1">
            <x v="6"/>
          </reference>
        </references>
      </pivotArea>
    </format>
    <format dxfId="1488">
      <pivotArea field="5" type="button" dataOnly="0" labelOnly="1" outline="0" axis="axisRow" fieldPosition="0"/>
    </format>
    <format dxfId="1487">
      <pivotArea dataOnly="0" labelOnly="1" outline="0" fieldPosition="0">
        <references count="1">
          <reference field="4294967294" count="7">
            <x v="0"/>
            <x v="1"/>
            <x v="2"/>
            <x v="3"/>
            <x v="4"/>
            <x v="5"/>
            <x v="6"/>
          </reference>
        </references>
      </pivotArea>
    </format>
    <format dxfId="1486">
      <pivotArea outline="0" fieldPosition="0">
        <references count="1">
          <reference field="4294967294" count="1">
            <x v="7"/>
          </reference>
        </references>
      </pivotArea>
    </format>
    <format dxfId="1485">
      <pivotArea outline="0" fieldPosition="0">
        <references count="1">
          <reference field="4294967294" count="1">
            <x v="9"/>
          </reference>
        </references>
      </pivotArea>
    </format>
    <format dxfId="1484">
      <pivotArea type="all" dataOnly="0" outline="0" fieldPosition="0"/>
    </format>
    <format dxfId="1483">
      <pivotArea outline="0" collapsedLevelsAreSubtotals="1" fieldPosition="0"/>
    </format>
    <format dxfId="1482">
      <pivotArea field="5" type="button" dataOnly="0" labelOnly="1" outline="0" axis="axisRow" fieldPosition="0"/>
    </format>
    <format dxfId="1481">
      <pivotArea dataOnly="0" labelOnly="1" fieldPosition="0">
        <references count="1">
          <reference field="5" count="0"/>
        </references>
      </pivotArea>
    </format>
    <format dxfId="1480">
      <pivotArea dataOnly="0" labelOnly="1" outline="0" fieldPosition="0">
        <references count="1">
          <reference field="4294967294" count="10">
            <x v="0"/>
            <x v="1"/>
            <x v="2"/>
            <x v="3"/>
            <x v="4"/>
            <x v="5"/>
            <x v="6"/>
            <x v="7"/>
            <x v="8"/>
            <x v="9"/>
          </reference>
        </references>
      </pivotArea>
    </format>
    <format dxfId="1479">
      <pivotArea field="5" type="button" dataOnly="0" labelOnly="1" outline="0" axis="axisRow" fieldPosition="0"/>
    </format>
    <format dxfId="1478">
      <pivotArea dataOnly="0" labelOnly="1" outline="0" fieldPosition="0">
        <references count="1">
          <reference field="4294967294" count="11">
            <x v="0"/>
            <x v="1"/>
            <x v="2"/>
            <x v="3"/>
            <x v="4"/>
            <x v="5"/>
            <x v="6"/>
            <x v="7"/>
            <x v="8"/>
            <x v="9"/>
            <x v="10"/>
          </reference>
        </references>
      </pivotArea>
    </format>
    <format dxfId="1477">
      <pivotArea field="5" type="button" dataOnly="0" labelOnly="1" outline="0" axis="axisRow" fieldPosition="0"/>
    </format>
    <format dxfId="1476">
      <pivotArea dataOnly="0" labelOnly="1" outline="0" fieldPosition="0">
        <references count="1">
          <reference field="4294967294" count="11">
            <x v="0"/>
            <x v="1"/>
            <x v="2"/>
            <x v="3"/>
            <x v="4"/>
            <x v="5"/>
            <x v="6"/>
            <x v="7"/>
            <x v="8"/>
            <x v="9"/>
            <x v="10"/>
          </reference>
        </references>
      </pivotArea>
    </format>
    <format dxfId="1475">
      <pivotArea outline="0" fieldPosition="0">
        <references count="1">
          <reference field="4294967294" count="1">
            <x v="11"/>
          </reference>
        </references>
      </pivotArea>
    </format>
    <format dxfId="1474">
      <pivotArea outline="0" fieldPosition="0">
        <references count="1">
          <reference field="4294967294" count="1">
            <x v="12"/>
          </reference>
        </references>
      </pivotArea>
    </format>
    <format dxfId="1473">
      <pivotArea outline="0" fieldPosition="0">
        <references count="1">
          <reference field="4294967294" count="1">
            <x v="13"/>
          </reference>
        </references>
      </pivotArea>
    </format>
    <format dxfId="1472">
      <pivotArea outline="0" fieldPosition="0">
        <references count="1">
          <reference field="4294967294" count="1">
            <x v="14"/>
          </reference>
        </references>
      </pivotArea>
    </format>
    <format dxfId="1471">
      <pivotArea outline="0" fieldPosition="0">
        <references count="1">
          <reference field="4294967294" count="1">
            <x v="16"/>
          </reference>
        </references>
      </pivotArea>
    </format>
    <format dxfId="1470">
      <pivotArea outline="0" collapsedLevelsAreSubtotals="1" fieldPosition="0">
        <references count="1">
          <reference field="4294967294" count="1" selected="0">
            <x v="18"/>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7" cacheId="2" dataOnRows="1"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compact="0" compactData="0" multipleFieldFilters="0" rowHeaderCaption="Entidad / sostenimiento" colHeaderCaption="Año">
  <location ref="A3:J21" firstHeaderRow="1" firstDataRow="2" firstDataCol="1"/>
  <pivotFields count="76">
    <pivotField compact="0" outline="0" showAll="0">
      <items count="4">
        <item x="0"/>
        <item x="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sortType="ascending">
      <items count="35">
        <item x="0"/>
        <item x="1"/>
        <item x="2"/>
        <item x="3"/>
        <item x="4"/>
        <item x="5"/>
        <item x="6"/>
        <item x="7"/>
        <item x="8"/>
        <item x="9"/>
        <item x="10"/>
        <item x="11"/>
        <item x="12"/>
        <item x="13"/>
        <item x="14"/>
        <item x="15"/>
        <item x="16"/>
        <item x="17"/>
        <item x="18"/>
        <item x="19"/>
        <item h="1" x="33"/>
        <item h="1" x="32"/>
        <item x="20"/>
        <item x="21"/>
        <item x="22"/>
        <item x="23"/>
        <item x="24"/>
        <item x="25"/>
        <item x="26"/>
        <item x="27"/>
        <item x="28"/>
        <item x="29"/>
        <item x="30"/>
        <item x="3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12">
        <item x="2"/>
        <item x="3"/>
        <item x="4"/>
        <item x="5"/>
        <item x="6"/>
        <item x="7"/>
        <item x="8"/>
        <item m="1" x="9"/>
        <item m="1" x="10"/>
        <item x="1"/>
        <item x="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numFmtId="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1">
    <field x="-2"/>
  </rowFields>
  <rowItems count="17">
    <i>
      <x/>
    </i>
    <i i="1">
      <x v="1"/>
    </i>
    <i i="2">
      <x v="2"/>
    </i>
    <i i="3">
      <x v="3"/>
    </i>
    <i i="4">
      <x v="4"/>
    </i>
    <i i="5">
      <x v="5"/>
    </i>
    <i i="6">
      <x v="6"/>
    </i>
    <i i="7">
      <x v="7"/>
    </i>
    <i i="8">
      <x v="8"/>
    </i>
    <i i="9">
      <x v="9"/>
    </i>
    <i i="10">
      <x v="10"/>
    </i>
    <i i="11">
      <x v="11"/>
    </i>
    <i i="12">
      <x v="12"/>
    </i>
    <i i="13">
      <x v="13"/>
    </i>
    <i i="14">
      <x v="14"/>
    </i>
    <i i="15">
      <x v="15"/>
    </i>
    <i i="16">
      <x v="16"/>
    </i>
  </rowItems>
  <colFields count="1">
    <field x="5"/>
  </colFields>
  <colItems count="9">
    <i>
      <x/>
    </i>
    <i>
      <x v="1"/>
    </i>
    <i>
      <x v="2"/>
    </i>
    <i>
      <x v="3"/>
    </i>
    <i>
      <x v="4"/>
    </i>
    <i>
      <x v="5"/>
    </i>
    <i>
      <x v="6"/>
    </i>
    <i>
      <x v="9"/>
    </i>
    <i>
      <x v="10"/>
    </i>
  </colItems>
  <dataFields count="17">
    <dataField name="Suma de Abandonantres" fld="75" baseField="0" baseItem="0" numFmtId="3"/>
    <dataField name="Suma de capacitados" fld="28" baseField="0" baseItem="0"/>
    <dataField name="Suma de certificacion" fld="33" baseField="0" baseItem="0"/>
    <dataField name="Promedio de TIT" fld="52" subtotal="average" baseField="3" baseItem="0" numFmtId="164"/>
    <dataField name="Promedio de AE" fld="51" subtotal="average" baseField="0" baseItem="0" numFmtId="165"/>
    <dataField name="Promedio de COB" fld="53" subtotal="average" baseField="0" baseItem="0" numFmtId="165"/>
    <dataField name="Promedio de ATN" fld="54" subtotal="average" baseField="0" baseItem="0" numFmtId="165"/>
    <dataField name="Promedio de ABS" fld="55" subtotal="average" baseField="0" baseItem="0" numFmtId="165"/>
    <dataField name="Promedio de ACI" fld="56" subtotal="average" baseField="0" baseItem="0" numFmtId="165"/>
    <dataField name="Promedio de REP" fld="57" subtotal="average" baseField="0" baseItem="0" numFmtId="165"/>
    <dataField name="Promedio de TE" fld="58" subtotal="average" baseField="0" baseItem="0" numFmtId="164"/>
    <dataField name="Promedio de COSTO" fld="59" subtotal="average" baseField="0" baseItem="0" numFmtId="164"/>
    <dataField name="Promedio de ET" fld="60" subtotal="average" baseField="0" baseItem="0" numFmtId="164"/>
    <dataField name="Promedio de ADOC" fld="61" subtotal="average" baseField="0" baseItem="0" numFmtId="165"/>
    <dataField name="Promedio de APC" fld="63" subtotal="average" baseField="0" baseItem="0" numFmtId="165"/>
    <dataField name="Promedio de BECEXT" fld="65" subtotal="average" baseField="0" baseItem="0" numFmtId="165"/>
    <dataField name="Promedio de PCSINEMS" fld="66" subtotal="average" baseField="0" baseItem="0" numFmtId="165"/>
  </dataFields>
  <formats count="51">
    <format dxfId="1469">
      <pivotArea type="all" dataOnly="0" outline="0" fieldPosition="0"/>
    </format>
    <format dxfId="1468">
      <pivotArea outline="0" collapsedLevelsAreSubtotals="1" fieldPosition="0"/>
    </format>
    <format dxfId="1467">
      <pivotArea type="origin" dataOnly="0" labelOnly="1" outline="0" fieldPosition="0"/>
    </format>
    <format dxfId="1466">
      <pivotArea field="5" type="button" dataOnly="0" labelOnly="1" outline="0" axis="axisCol" fieldPosition="0"/>
    </format>
    <format dxfId="1465">
      <pivotArea type="topRight" dataOnly="0" labelOnly="1" outline="0" fieldPosition="0"/>
    </format>
    <format dxfId="1464">
      <pivotArea field="3" type="button" dataOnly="0" labelOnly="1" outline="0"/>
    </format>
    <format dxfId="1463">
      <pivotArea dataOnly="0" labelOnly="1" grandRow="1" outline="0" fieldPosition="0"/>
    </format>
    <format dxfId="1462">
      <pivotArea type="all" dataOnly="0" outline="0" fieldPosition="0"/>
    </format>
    <format dxfId="1461">
      <pivotArea outline="0" collapsedLevelsAreSubtotals="1" fieldPosition="0"/>
    </format>
    <format dxfId="1460">
      <pivotArea type="origin" dataOnly="0" labelOnly="1" outline="0" fieldPosition="0"/>
    </format>
    <format dxfId="1459">
      <pivotArea field="5" type="button" dataOnly="0" labelOnly="1" outline="0" axis="axisCol" fieldPosition="0"/>
    </format>
    <format dxfId="1458">
      <pivotArea type="topRight" dataOnly="0" labelOnly="1" outline="0" fieldPosition="0"/>
    </format>
    <format dxfId="1457">
      <pivotArea field="3" type="button" dataOnly="0" labelOnly="1" outline="0"/>
    </format>
    <format dxfId="1456">
      <pivotArea dataOnly="0" labelOnly="1" grandRow="1" outline="0" fieldPosition="0"/>
    </format>
    <format dxfId="1455">
      <pivotArea type="all" dataOnly="0" outline="0" fieldPosition="0"/>
    </format>
    <format dxfId="1454">
      <pivotArea outline="0" collapsedLevelsAreSubtotals="1" fieldPosition="0"/>
    </format>
    <format dxfId="1453">
      <pivotArea type="origin" dataOnly="0" labelOnly="1" outline="0" fieldPosition="0"/>
    </format>
    <format dxfId="1452">
      <pivotArea field="5" type="button" dataOnly="0" labelOnly="1" outline="0" axis="axisCol" fieldPosition="0"/>
    </format>
    <format dxfId="1451">
      <pivotArea type="topRight" dataOnly="0" labelOnly="1" outline="0" fieldPosition="0"/>
    </format>
    <format dxfId="1450">
      <pivotArea field="0" type="button" dataOnly="0" labelOnly="1" outline="0"/>
    </format>
    <format dxfId="1449">
      <pivotArea dataOnly="0" labelOnly="1" grandRow="1" outline="0" fieldPosition="0"/>
    </format>
    <format dxfId="1448">
      <pivotArea type="origin" dataOnly="0" labelOnly="1" outline="0" fieldPosition="0"/>
    </format>
    <format dxfId="1447">
      <pivotArea grandRow="1" outline="0" collapsedLevelsAreSubtotals="1" fieldPosition="0"/>
    </format>
    <format dxfId="1446">
      <pivotArea grandRow="1" outline="0" collapsedLevelsAreSubtotals="1" fieldPosition="0"/>
    </format>
    <format dxfId="1445">
      <pivotArea grandRow="1" outline="0" collapsedLevelsAreSubtotals="1" fieldPosition="0"/>
    </format>
    <format dxfId="1444">
      <pivotArea grandRow="1" outline="0" collapsedLevelsAreSubtotals="1" fieldPosition="0"/>
    </format>
    <format dxfId="1443">
      <pivotArea grandRow="1" outline="0" collapsedLevelsAreSubtotals="1" fieldPosition="0"/>
    </format>
    <format dxfId="1442">
      <pivotArea grandRow="1" outline="0" collapsedLevelsAreSubtotals="1" fieldPosition="0"/>
    </format>
    <format dxfId="1441">
      <pivotArea grandRow="1" outline="0" collapsedLevelsAreSubtotals="1" fieldPosition="0"/>
    </format>
    <format dxfId="1440">
      <pivotArea grandRow="1" outline="0" collapsedLevelsAreSubtotals="1" fieldPosition="0"/>
    </format>
    <format dxfId="1439">
      <pivotArea outline="0" fieldPosition="0">
        <references count="1">
          <reference field="4294967294" count="1">
            <x v="3"/>
          </reference>
        </references>
      </pivotArea>
    </format>
    <format dxfId="1438">
      <pivotArea outline="0" collapsedLevelsAreSubtotals="1" fieldPosition="0">
        <references count="1">
          <reference field="4294967294" count="6" selected="0">
            <x v="4"/>
            <x v="5"/>
            <x v="6"/>
            <x v="7"/>
            <x v="8"/>
            <x v="9"/>
          </reference>
        </references>
      </pivotArea>
    </format>
    <format dxfId="1437">
      <pivotArea outline="0" collapsedLevelsAreSubtotals="1" fieldPosition="0">
        <references count="1">
          <reference field="4294967294" count="4" selected="0">
            <x v="13"/>
            <x v="14"/>
            <x v="15"/>
            <x v="16"/>
          </reference>
        </references>
      </pivotArea>
    </format>
    <format dxfId="1436">
      <pivotArea outline="0" collapsedLevelsAreSubtotals="1" fieldPosition="0">
        <references count="1">
          <reference field="4294967294" count="3" selected="0">
            <x v="10"/>
            <x v="11"/>
            <x v="12"/>
          </reference>
        </references>
      </pivotArea>
    </format>
    <format dxfId="1435">
      <pivotArea outline="0" collapsedLevelsAreSubtotals="1" fieldPosition="0">
        <references count="1">
          <reference field="4294967294" count="3" selected="0">
            <x v="10"/>
            <x v="11"/>
            <x v="12"/>
          </reference>
        </references>
      </pivotArea>
    </format>
    <format dxfId="1434">
      <pivotArea outline="0" collapsedLevelsAreSubtotals="1" fieldPosition="0">
        <references count="1">
          <reference field="4294967294" count="3" selected="0">
            <x v="10"/>
            <x v="11"/>
            <x v="12"/>
          </reference>
        </references>
      </pivotArea>
    </format>
    <format dxfId="1433">
      <pivotArea outline="0" collapsedLevelsAreSubtotals="1" fieldPosition="0">
        <references count="1">
          <reference field="4294967294" count="3" selected="0">
            <x v="10"/>
            <x v="11"/>
            <x v="12"/>
          </reference>
        </references>
      </pivotArea>
    </format>
    <format dxfId="1432">
      <pivotArea outline="0" collapsedLevelsAreSubtotals="1" fieldPosition="0">
        <references count="1">
          <reference field="4294967294" count="3" selected="0">
            <x v="10"/>
            <x v="11"/>
            <x v="12"/>
          </reference>
        </references>
      </pivotArea>
    </format>
    <format dxfId="1431">
      <pivotArea outline="0" collapsedLevelsAreSubtotals="1" fieldPosition="0">
        <references count="1">
          <reference field="4294967294" count="3" selected="0">
            <x v="10"/>
            <x v="11"/>
            <x v="12"/>
          </reference>
        </references>
      </pivotArea>
    </format>
    <format dxfId="1430">
      <pivotArea outline="0" collapsedLevelsAreSubtotals="1" fieldPosition="0">
        <references count="1">
          <reference field="4294967294" count="3" selected="0">
            <x v="10"/>
            <x v="11"/>
            <x v="12"/>
          </reference>
        </references>
      </pivotArea>
    </format>
    <format dxfId="1429">
      <pivotArea outline="0" collapsedLevelsAreSubtotals="1" fieldPosition="0">
        <references count="1">
          <reference field="4294967294" count="3" selected="0">
            <x v="10"/>
            <x v="11"/>
            <x v="12"/>
          </reference>
        </references>
      </pivotArea>
    </format>
    <format dxfId="1428">
      <pivotArea outline="0" collapsedLevelsAreSubtotals="1" fieldPosition="0">
        <references count="1">
          <reference field="4294967294" count="3" selected="0">
            <x v="10"/>
            <x v="11"/>
            <x v="12"/>
          </reference>
        </references>
      </pivotArea>
    </format>
    <format dxfId="1427">
      <pivotArea field="3" type="button" dataOnly="0" labelOnly="1" outline="0"/>
    </format>
    <format dxfId="1426">
      <pivotArea dataOnly="0" labelOnly="1" outline="0" fieldPosition="0">
        <references count="1">
          <reference field="4294967294" count="16">
            <x v="1"/>
            <x v="2"/>
            <x v="3"/>
            <x v="4"/>
            <x v="5"/>
            <x v="6"/>
            <x v="7"/>
            <x v="8"/>
            <x v="9"/>
            <x v="10"/>
            <x v="11"/>
            <x v="12"/>
            <x v="13"/>
            <x v="14"/>
            <x v="15"/>
            <x v="16"/>
          </reference>
        </references>
      </pivotArea>
    </format>
    <format dxfId="1425">
      <pivotArea field="3" type="button" dataOnly="0" labelOnly="1" outline="0"/>
    </format>
    <format dxfId="1424">
      <pivotArea dataOnly="0" labelOnly="1" outline="0" fieldPosition="0">
        <references count="1">
          <reference field="4294967294" count="16">
            <x v="1"/>
            <x v="2"/>
            <x v="3"/>
            <x v="4"/>
            <x v="5"/>
            <x v="6"/>
            <x v="7"/>
            <x v="8"/>
            <x v="9"/>
            <x v="10"/>
            <x v="11"/>
            <x v="12"/>
            <x v="13"/>
            <x v="14"/>
            <x v="15"/>
            <x v="16"/>
          </reference>
        </references>
      </pivotArea>
    </format>
    <format dxfId="1423">
      <pivotArea outline="0" collapsedLevelsAreSubtotals="1" fieldPosition="0">
        <references count="1">
          <reference field="4294967294" count="15" selected="0">
            <x v="2"/>
            <x v="3"/>
            <x v="4"/>
            <x v="5"/>
            <x v="6"/>
            <x v="7"/>
            <x v="8"/>
            <x v="9"/>
            <x v="10"/>
            <x v="11"/>
            <x v="12"/>
            <x v="13"/>
            <x v="14"/>
            <x v="15"/>
            <x v="16"/>
          </reference>
        </references>
      </pivotArea>
    </format>
    <format dxfId="1422">
      <pivotArea dataOnly="0" labelOnly="1" outline="0" fieldPosition="0">
        <references count="1">
          <reference field="4294967294" count="15">
            <x v="2"/>
            <x v="3"/>
            <x v="4"/>
            <x v="5"/>
            <x v="6"/>
            <x v="7"/>
            <x v="8"/>
            <x v="9"/>
            <x v="10"/>
            <x v="11"/>
            <x v="12"/>
            <x v="13"/>
            <x v="14"/>
            <x v="15"/>
            <x v="16"/>
          </reference>
        </references>
      </pivotArea>
    </format>
    <format dxfId="1421">
      <pivotArea outline="0" collapsedLevelsAreSubtotals="1" fieldPosition="0"/>
    </format>
    <format dxfId="1420">
      <pivotArea dataOnly="0" labelOnly="1" outline="0" fieldPosition="0">
        <references count="1">
          <reference field="5" count="0"/>
        </references>
      </pivotArea>
    </format>
    <format dxfId="1419">
      <pivotArea field="5" type="button" dataOnly="0" labelOnly="1" outline="0" axis="axisCol" fieldPosition="0"/>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COB" fld="53" subtotal="average" baseField="3" baseItem="5" numFmtId="4"/>
  </dataFields>
  <formats count="48">
    <format dxfId="1418">
      <pivotArea type="all" dataOnly="0" outline="0" fieldPosition="0"/>
    </format>
    <format dxfId="1417">
      <pivotArea outline="0" collapsedLevelsAreSubtotals="1" fieldPosition="0"/>
    </format>
    <format dxfId="1416">
      <pivotArea type="origin" dataOnly="0" labelOnly="1" outline="0" fieldPosition="0"/>
    </format>
    <format dxfId="1415">
      <pivotArea field="5" type="button" dataOnly="0" labelOnly="1" outline="0" axis="axisCol" fieldPosition="0"/>
    </format>
    <format dxfId="1414">
      <pivotArea type="topRight" dataOnly="0" labelOnly="1" outline="0" fieldPosition="0"/>
    </format>
    <format dxfId="1413">
      <pivotArea field="3" type="button" dataOnly="0" labelOnly="1" outline="0" axis="axisRow" fieldPosition="1"/>
    </format>
    <format dxfId="1412">
      <pivotArea dataOnly="0" labelOnly="1" fieldPosition="0">
        <references count="1">
          <reference field="3" count="0"/>
        </references>
      </pivotArea>
    </format>
    <format dxfId="1411">
      <pivotArea dataOnly="0" labelOnly="1" grandRow="1" outline="0" fieldPosition="0"/>
    </format>
    <format dxfId="1410">
      <pivotArea dataOnly="0" labelOnly="1" fieldPosition="0">
        <references count="1">
          <reference field="5" count="0"/>
        </references>
      </pivotArea>
    </format>
    <format dxfId="1409">
      <pivotArea type="all" dataOnly="0" outline="0" fieldPosition="0"/>
    </format>
    <format dxfId="1408">
      <pivotArea outline="0" collapsedLevelsAreSubtotals="1" fieldPosition="0"/>
    </format>
    <format dxfId="1407">
      <pivotArea type="origin" dataOnly="0" labelOnly="1" outline="0" fieldPosition="0"/>
    </format>
    <format dxfId="1406">
      <pivotArea field="5" type="button" dataOnly="0" labelOnly="1" outline="0" axis="axisCol" fieldPosition="0"/>
    </format>
    <format dxfId="1405">
      <pivotArea type="topRight" dataOnly="0" labelOnly="1" outline="0" fieldPosition="0"/>
    </format>
    <format dxfId="1404">
      <pivotArea field="3" type="button" dataOnly="0" labelOnly="1" outline="0" axis="axisRow" fieldPosition="1"/>
    </format>
    <format dxfId="1403">
      <pivotArea dataOnly="0" labelOnly="1" fieldPosition="0">
        <references count="1">
          <reference field="3" count="0"/>
        </references>
      </pivotArea>
    </format>
    <format dxfId="1402">
      <pivotArea dataOnly="0" labelOnly="1" grandRow="1" outline="0" fieldPosition="0"/>
    </format>
    <format dxfId="1401">
      <pivotArea dataOnly="0" labelOnly="1" fieldPosition="0">
        <references count="1">
          <reference field="5" count="0"/>
        </references>
      </pivotArea>
    </format>
    <format dxfId="1400">
      <pivotArea type="all" dataOnly="0" outline="0" fieldPosition="0"/>
    </format>
    <format dxfId="1399">
      <pivotArea outline="0" collapsedLevelsAreSubtotals="1" fieldPosition="0"/>
    </format>
    <format dxfId="1398">
      <pivotArea type="origin" dataOnly="0" labelOnly="1" outline="0" fieldPosition="0"/>
    </format>
    <format dxfId="1397">
      <pivotArea field="5" type="button" dataOnly="0" labelOnly="1" outline="0" axis="axisCol" fieldPosition="0"/>
    </format>
    <format dxfId="1396">
      <pivotArea type="topRight" dataOnly="0" labelOnly="1" outline="0" fieldPosition="0"/>
    </format>
    <format dxfId="1395">
      <pivotArea field="0" type="button" dataOnly="0" labelOnly="1" outline="0" axis="axisRow" fieldPosition="0"/>
    </format>
    <format dxfId="1394">
      <pivotArea dataOnly="0" labelOnly="1" fieldPosition="0">
        <references count="1">
          <reference field="0" count="0"/>
        </references>
      </pivotArea>
    </format>
    <format dxfId="1393">
      <pivotArea dataOnly="0" labelOnly="1" grandRow="1" outline="0" fieldPosition="0"/>
    </format>
    <format dxfId="1392">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391">
      <pivotArea dataOnly="0" labelOnly="1" fieldPosition="0">
        <references count="2">
          <reference field="0" count="1" selected="0">
            <x v="1"/>
          </reference>
          <reference field="3" count="2">
            <x v="6"/>
            <x v="19"/>
          </reference>
        </references>
      </pivotArea>
    </format>
    <format dxfId="1390">
      <pivotArea dataOnly="0" labelOnly="1" fieldPosition="0">
        <references count="1">
          <reference field="5" count="0"/>
        </references>
      </pivotArea>
    </format>
    <format dxfId="1389">
      <pivotArea outline="0" fieldPosition="0">
        <references count="1">
          <reference field="4294967294" count="1">
            <x v="0"/>
          </reference>
        </references>
      </pivotArea>
    </format>
    <format dxfId="1388">
      <pivotArea type="origin" dataOnly="0" labelOnly="1" outline="0" fieldPosition="0"/>
    </format>
    <format dxfId="1387">
      <pivotArea collapsedLevelsAreSubtotals="1" fieldPosition="0">
        <references count="1">
          <reference field="0" count="1">
            <x v="1"/>
          </reference>
        </references>
      </pivotArea>
    </format>
    <format dxfId="1386">
      <pivotArea collapsedLevelsAreSubtotals="1" fieldPosition="0">
        <references count="1">
          <reference field="0" count="1">
            <x v="1"/>
          </reference>
        </references>
      </pivotArea>
    </format>
    <format dxfId="1385">
      <pivotArea collapsedLevelsAreSubtotals="1" fieldPosition="0">
        <references count="1">
          <reference field="0" count="1">
            <x v="1"/>
          </reference>
        </references>
      </pivotArea>
    </format>
    <format dxfId="1384">
      <pivotArea outline="0" collapsedLevelsAreSubtotals="1" fieldPosition="0">
        <references count="1">
          <reference field="5" count="1" selected="0">
            <x v="7"/>
          </reference>
        </references>
      </pivotArea>
    </format>
    <format dxfId="1383">
      <pivotArea collapsedLevelsAreSubtotals="1" fieldPosition="0">
        <references count="2">
          <reference field="0" count="1">
            <x v="0"/>
          </reference>
          <reference field="5" count="1" selected="0">
            <x v="7"/>
          </reference>
        </references>
      </pivotArea>
    </format>
    <format dxfId="1382">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7"/>
          </reference>
        </references>
      </pivotArea>
    </format>
    <format dxfId="1381">
      <pivotArea collapsedLevelsAreSubtotals="1" fieldPosition="0">
        <references count="2">
          <reference field="0" count="1">
            <x v="1"/>
          </reference>
          <reference field="5" count="1" selected="0">
            <x v="7"/>
          </reference>
        </references>
      </pivotArea>
    </format>
    <format dxfId="1380">
      <pivotArea collapsedLevelsAreSubtotals="1" fieldPosition="0">
        <references count="3">
          <reference field="0" count="1" selected="0">
            <x v="1"/>
          </reference>
          <reference field="3" count="2">
            <x v="6"/>
            <x v="19"/>
          </reference>
          <reference field="5" count="1" selected="0">
            <x v="7"/>
          </reference>
        </references>
      </pivotArea>
    </format>
    <format dxfId="1379">
      <pivotArea collapsedLevelsAreSubtotals="1" fieldPosition="0">
        <references count="2">
          <reference field="0" count="1">
            <x v="0"/>
          </reference>
          <reference field="5" count="1" selected="0">
            <x v="7"/>
          </reference>
        </references>
      </pivotArea>
    </format>
    <format dxfId="1378">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7"/>
          </reference>
        </references>
      </pivotArea>
    </format>
    <format dxfId="1377">
      <pivotArea collapsedLevelsAreSubtotals="1" fieldPosition="0">
        <references count="2">
          <reference field="0" count="1">
            <x v="1"/>
          </reference>
          <reference field="5" count="1" selected="0">
            <x v="7"/>
          </reference>
        </references>
      </pivotArea>
    </format>
    <format dxfId="1376">
      <pivotArea collapsedLevelsAreSubtotals="1" fieldPosition="0">
        <references count="3">
          <reference field="0" count="1" selected="0">
            <x v="1"/>
          </reference>
          <reference field="3" count="2">
            <x v="6"/>
            <x v="19"/>
          </reference>
          <reference field="5" count="1" selected="0">
            <x v="7"/>
          </reference>
        </references>
      </pivotArea>
    </format>
    <format dxfId="1375">
      <pivotArea collapsedLevelsAreSubtotals="1" fieldPosition="0">
        <references count="2">
          <reference field="0" count="1">
            <x v="0"/>
          </reference>
          <reference field="5" count="1" selected="0">
            <x v="7"/>
          </reference>
        </references>
      </pivotArea>
    </format>
    <format dxfId="1374">
      <pivotArea collapsedLevelsAreSubtotals="1" fieldPosition="0">
        <references count="3">
          <reference field="0" count="1" selected="0">
            <x v="0"/>
          </reference>
          <reference field="3" count="30">
            <x v="0"/>
            <x v="1"/>
            <x v="2"/>
            <x v="3"/>
            <x v="4"/>
            <x v="5"/>
            <x v="7"/>
            <x v="8"/>
            <x v="9"/>
            <x v="10"/>
            <x v="11"/>
            <x v="12"/>
            <x v="13"/>
            <x v="14"/>
            <x v="15"/>
            <x v="16"/>
            <x v="17"/>
            <x v="18"/>
            <x v="20"/>
            <x v="21"/>
            <x v="22"/>
            <x v="23"/>
            <x v="24"/>
            <x v="25"/>
            <x v="26"/>
            <x v="27"/>
            <x v="28"/>
            <x v="29"/>
            <x v="30"/>
            <x v="31"/>
          </reference>
          <reference field="5" count="1" selected="0">
            <x v="7"/>
          </reference>
        </references>
      </pivotArea>
    </format>
    <format dxfId="1373">
      <pivotArea collapsedLevelsAreSubtotals="1" fieldPosition="0">
        <references count="2">
          <reference field="0" count="1">
            <x v="1"/>
          </reference>
          <reference field="5" count="1" selected="0">
            <x v="7"/>
          </reference>
        </references>
      </pivotArea>
    </format>
    <format dxfId="1372">
      <pivotArea collapsedLevelsAreSubtotals="1" fieldPosition="0">
        <references count="3">
          <reference field="0" count="1" selected="0">
            <x v="1"/>
          </reference>
          <reference field="3" count="2">
            <x v="6"/>
            <x v="19"/>
          </reference>
          <reference field="5" count="1" selected="0">
            <x v="7"/>
          </reference>
        </references>
      </pivotArea>
    </format>
    <format dxfId="1371">
      <pivotArea dataOnly="0" labelOnly="1" fieldPosition="0">
        <references count="1">
          <reference field="5" count="0"/>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ATN" fld="54" subtotal="average" baseField="0" baseItem="0" numFmtId="4"/>
  </dataFields>
  <formats count="34">
    <format dxfId="1366">
      <pivotArea type="all" dataOnly="0" outline="0" fieldPosition="0"/>
    </format>
    <format dxfId="1365">
      <pivotArea outline="0" collapsedLevelsAreSubtotals="1" fieldPosition="0"/>
    </format>
    <format dxfId="1364">
      <pivotArea type="origin" dataOnly="0" labelOnly="1" outline="0" fieldPosition="0"/>
    </format>
    <format dxfId="1363">
      <pivotArea field="5" type="button" dataOnly="0" labelOnly="1" outline="0" axis="axisCol" fieldPosition="0"/>
    </format>
    <format dxfId="1362">
      <pivotArea type="topRight" dataOnly="0" labelOnly="1" outline="0" fieldPosition="0"/>
    </format>
    <format dxfId="1361">
      <pivotArea field="3" type="button" dataOnly="0" labelOnly="1" outline="0" axis="axisRow" fieldPosition="1"/>
    </format>
    <format dxfId="1360">
      <pivotArea dataOnly="0" labelOnly="1" fieldPosition="0">
        <references count="1">
          <reference field="3" count="0"/>
        </references>
      </pivotArea>
    </format>
    <format dxfId="1359">
      <pivotArea dataOnly="0" labelOnly="1" grandRow="1" outline="0" fieldPosition="0"/>
    </format>
    <format dxfId="1358">
      <pivotArea dataOnly="0" labelOnly="1" fieldPosition="0">
        <references count="1">
          <reference field="5" count="0"/>
        </references>
      </pivotArea>
    </format>
    <format dxfId="1357">
      <pivotArea type="all" dataOnly="0" outline="0" fieldPosition="0"/>
    </format>
    <format dxfId="1356">
      <pivotArea outline="0" collapsedLevelsAreSubtotals="1" fieldPosition="0"/>
    </format>
    <format dxfId="1355">
      <pivotArea type="origin" dataOnly="0" labelOnly="1" outline="0" fieldPosition="0"/>
    </format>
    <format dxfId="1354">
      <pivotArea field="5" type="button" dataOnly="0" labelOnly="1" outline="0" axis="axisCol" fieldPosition="0"/>
    </format>
    <format dxfId="1353">
      <pivotArea type="topRight" dataOnly="0" labelOnly="1" outline="0" fieldPosition="0"/>
    </format>
    <format dxfId="1352">
      <pivotArea field="3" type="button" dataOnly="0" labelOnly="1" outline="0" axis="axisRow" fieldPosition="1"/>
    </format>
    <format dxfId="1351">
      <pivotArea dataOnly="0" labelOnly="1" fieldPosition="0">
        <references count="1">
          <reference field="3" count="0"/>
        </references>
      </pivotArea>
    </format>
    <format dxfId="1350">
      <pivotArea dataOnly="0" labelOnly="1" grandRow="1" outline="0" fieldPosition="0"/>
    </format>
    <format dxfId="1349">
      <pivotArea dataOnly="0" labelOnly="1" fieldPosition="0">
        <references count="1">
          <reference field="5" count="0"/>
        </references>
      </pivotArea>
    </format>
    <format dxfId="1348">
      <pivotArea type="all" dataOnly="0" outline="0" fieldPosition="0"/>
    </format>
    <format dxfId="1347">
      <pivotArea outline="0" collapsedLevelsAreSubtotals="1" fieldPosition="0"/>
    </format>
    <format dxfId="1346">
      <pivotArea type="origin" dataOnly="0" labelOnly="1" outline="0" fieldPosition="0"/>
    </format>
    <format dxfId="1345">
      <pivotArea field="5" type="button" dataOnly="0" labelOnly="1" outline="0" axis="axisCol" fieldPosition="0"/>
    </format>
    <format dxfId="1344">
      <pivotArea type="topRight" dataOnly="0" labelOnly="1" outline="0" fieldPosition="0"/>
    </format>
    <format dxfId="1343">
      <pivotArea field="0" type="button" dataOnly="0" labelOnly="1" outline="0" axis="axisRow" fieldPosition="0"/>
    </format>
    <format dxfId="1342">
      <pivotArea dataOnly="0" labelOnly="1" fieldPosition="0">
        <references count="1">
          <reference field="0" count="0"/>
        </references>
      </pivotArea>
    </format>
    <format dxfId="1341">
      <pivotArea dataOnly="0" labelOnly="1" grandRow="1" outline="0" fieldPosition="0"/>
    </format>
    <format dxfId="1340">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339">
      <pivotArea dataOnly="0" labelOnly="1" fieldPosition="0">
        <references count="2">
          <reference field="0" count="1" selected="0">
            <x v="1"/>
          </reference>
          <reference field="3" count="2">
            <x v="6"/>
            <x v="19"/>
          </reference>
        </references>
      </pivotArea>
    </format>
    <format dxfId="1338">
      <pivotArea dataOnly="0" labelOnly="1" fieldPosition="0">
        <references count="1">
          <reference field="5" count="0"/>
        </references>
      </pivotArea>
    </format>
    <format dxfId="1337">
      <pivotArea type="origin" dataOnly="0" labelOnly="1" outline="0" fieldPosition="0"/>
    </format>
    <format dxfId="1336">
      <pivotArea collapsedLevelsAreSubtotals="1" fieldPosition="0">
        <references count="1">
          <reference field="0" count="1">
            <x v="1"/>
          </reference>
        </references>
      </pivotArea>
    </format>
    <format dxfId="1335">
      <pivotArea collapsedLevelsAreSubtotals="1" fieldPosition="0">
        <references count="1">
          <reference field="0" count="1">
            <x v="1"/>
          </reference>
        </references>
      </pivotArea>
    </format>
    <format dxfId="1334">
      <pivotArea collapsedLevelsAreSubtotals="1" fieldPosition="0">
        <references count="1">
          <reference field="0" count="1">
            <x v="1"/>
          </reference>
        </references>
      </pivotArea>
    </format>
    <format dxfId="1333">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Promedio de ABS" fld="55" subtotal="average" baseField="3" baseItem="0" numFmtId="2"/>
  </dataFields>
  <formats count="34">
    <format dxfId="1328">
      <pivotArea type="all" dataOnly="0" outline="0" fieldPosition="0"/>
    </format>
    <format dxfId="1327">
      <pivotArea outline="0" collapsedLevelsAreSubtotals="1" fieldPosition="0"/>
    </format>
    <format dxfId="1326">
      <pivotArea type="origin" dataOnly="0" labelOnly="1" outline="0" fieldPosition="0"/>
    </format>
    <format dxfId="1325">
      <pivotArea field="5" type="button" dataOnly="0" labelOnly="1" outline="0" axis="axisCol" fieldPosition="0"/>
    </format>
    <format dxfId="1324">
      <pivotArea type="topRight" dataOnly="0" labelOnly="1" outline="0" fieldPosition="0"/>
    </format>
    <format dxfId="1323">
      <pivotArea field="3" type="button" dataOnly="0" labelOnly="1" outline="0" axis="axisRow" fieldPosition="1"/>
    </format>
    <format dxfId="1322">
      <pivotArea dataOnly="0" labelOnly="1" fieldPosition="0">
        <references count="1">
          <reference field="3" count="0"/>
        </references>
      </pivotArea>
    </format>
    <format dxfId="1321">
      <pivotArea dataOnly="0" labelOnly="1" grandRow="1" outline="0" fieldPosition="0"/>
    </format>
    <format dxfId="1320">
      <pivotArea dataOnly="0" labelOnly="1" fieldPosition="0">
        <references count="1">
          <reference field="5" count="0"/>
        </references>
      </pivotArea>
    </format>
    <format dxfId="1319">
      <pivotArea type="all" dataOnly="0" outline="0" fieldPosition="0"/>
    </format>
    <format dxfId="1318">
      <pivotArea outline="0" collapsedLevelsAreSubtotals="1" fieldPosition="0"/>
    </format>
    <format dxfId="1317">
      <pivotArea type="origin" dataOnly="0" labelOnly="1" outline="0" fieldPosition="0"/>
    </format>
    <format dxfId="1316">
      <pivotArea field="5" type="button" dataOnly="0" labelOnly="1" outline="0" axis="axisCol" fieldPosition="0"/>
    </format>
    <format dxfId="1315">
      <pivotArea type="topRight" dataOnly="0" labelOnly="1" outline="0" fieldPosition="0"/>
    </format>
    <format dxfId="1314">
      <pivotArea field="3" type="button" dataOnly="0" labelOnly="1" outline="0" axis="axisRow" fieldPosition="1"/>
    </format>
    <format dxfId="1313">
      <pivotArea dataOnly="0" labelOnly="1" fieldPosition="0">
        <references count="1">
          <reference field="3" count="0"/>
        </references>
      </pivotArea>
    </format>
    <format dxfId="1312">
      <pivotArea dataOnly="0" labelOnly="1" grandRow="1" outline="0" fieldPosition="0"/>
    </format>
    <format dxfId="1311">
      <pivotArea dataOnly="0" labelOnly="1" fieldPosition="0">
        <references count="1">
          <reference field="5" count="0"/>
        </references>
      </pivotArea>
    </format>
    <format dxfId="1310">
      <pivotArea type="all" dataOnly="0" outline="0" fieldPosition="0"/>
    </format>
    <format dxfId="1309">
      <pivotArea outline="0" collapsedLevelsAreSubtotals="1" fieldPosition="0"/>
    </format>
    <format dxfId="1308">
      <pivotArea type="origin" dataOnly="0" labelOnly="1" outline="0" fieldPosition="0"/>
    </format>
    <format dxfId="1307">
      <pivotArea field="5" type="button" dataOnly="0" labelOnly="1" outline="0" axis="axisCol" fieldPosition="0"/>
    </format>
    <format dxfId="1306">
      <pivotArea type="topRight" dataOnly="0" labelOnly="1" outline="0" fieldPosition="0"/>
    </format>
    <format dxfId="1305">
      <pivotArea field="0" type="button" dataOnly="0" labelOnly="1" outline="0" axis="axisRow" fieldPosition="0"/>
    </format>
    <format dxfId="1304">
      <pivotArea dataOnly="0" labelOnly="1" fieldPosition="0">
        <references count="1">
          <reference field="0" count="0"/>
        </references>
      </pivotArea>
    </format>
    <format dxfId="1303">
      <pivotArea dataOnly="0" labelOnly="1" grandRow="1" outline="0" fieldPosition="0"/>
    </format>
    <format dxfId="1302">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301">
      <pivotArea dataOnly="0" labelOnly="1" fieldPosition="0">
        <references count="2">
          <reference field="0" count="1" selected="0">
            <x v="1"/>
          </reference>
          <reference field="3" count="2">
            <x v="6"/>
            <x v="19"/>
          </reference>
        </references>
      </pivotArea>
    </format>
    <format dxfId="1300">
      <pivotArea dataOnly="0" labelOnly="1" fieldPosition="0">
        <references count="1">
          <reference field="5" count="0"/>
        </references>
      </pivotArea>
    </format>
    <format dxfId="1299">
      <pivotArea type="origin" dataOnly="0" labelOnly="1" outline="0" fieldPosition="0"/>
    </format>
    <format dxfId="1298">
      <pivotArea collapsedLevelsAreSubtotals="1" fieldPosition="0">
        <references count="1">
          <reference field="0" count="1">
            <x v="1"/>
          </reference>
        </references>
      </pivotArea>
    </format>
    <format dxfId="1297">
      <pivotArea collapsedLevelsAreSubtotals="1" fieldPosition="0">
        <references count="1">
          <reference field="0" count="1">
            <x v="1"/>
          </reference>
        </references>
      </pivotArea>
    </format>
    <format dxfId="1296">
      <pivotArea collapsedLevelsAreSubtotals="1" fieldPosition="0">
        <references count="1">
          <reference field="0" count="1">
            <x v="1"/>
          </reference>
        </references>
      </pivotArea>
    </format>
    <format dxfId="1295">
      <pivotArea outline="0" fieldPosition="0">
        <references count="1">
          <reference field="4294967294" count="1">
            <x v="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aDinámica7" cacheId="0" applyNumberFormats="0" applyBorderFormats="0" applyFontFormats="0" applyPatternFormats="0" applyAlignmentFormats="0" applyWidthHeightFormats="1" dataCaption="Valores" errorCaption="-" showError="1" missingCaption="-" updatedVersion="6" minRefreshableVersion="3" colGrandTotals="0" itemPrintTitles="1" createdVersion="6" indent="0" outline="1" outlineData="1" multipleFieldFilters="0" rowHeaderCaption="Entidad / sostenimiento" colHeaderCaption="Año">
  <location ref="A15:F54" firstHeaderRow="1" firstDataRow="2" firstDataCol="1"/>
  <pivotFields count="77">
    <pivotField axis="axisRow" showAll="0">
      <items count="4">
        <item x="0"/>
        <item x="1"/>
        <item x="2"/>
        <item t="default"/>
      </items>
    </pivotField>
    <pivotField showAll="0"/>
    <pivotField showAll="0"/>
    <pivotField axis="axisRow" showAl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pivotField axis="axisCol" showAll="0">
      <items count="12">
        <item h="1" x="2"/>
        <item h="1" x="3"/>
        <item h="1" x="4"/>
        <item h="1" x="5"/>
        <item h="1" x="6"/>
        <item h="1" x="7"/>
        <item x="8"/>
        <item x="9"/>
        <item x="10"/>
        <item x="1"/>
        <item x="0"/>
        <item t="default"/>
      </items>
    </pivotField>
    <pivotField dataField="1" numFmtId="3" showAll="0"/>
    <pivotField numFmtId="3" showAll="0"/>
    <pivotField numFmtId="3" showAll="0"/>
    <pivotField numFmtId="3" showAll="0"/>
    <pivotField numFmtId="3" showAll="0"/>
    <pivotField showAll="0"/>
    <pivotField showAll="0"/>
    <pivotField numFmtId="3" showAll="0"/>
    <pivotField numFmtId="3" showAll="0"/>
    <pivotField showAll="0"/>
    <pivotField numFmtId="3" showAll="0"/>
    <pivotField numFmtId="3" showAll="0"/>
    <pivotField numFmtId="3" showAll="0" defaultSubtotal="0"/>
    <pivotField showAll="0" defaultSubtotal="0"/>
    <pivotField showAll="0" defaultSubtotal="0"/>
    <pivotField showAll="0" defaultSubtotal="0"/>
    <pivotField numFmtId="3" showAll="0" defaultSubtotal="0"/>
    <pivotField numFmtId="3"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2">
    <field x="0"/>
    <field x="3"/>
  </rowFields>
  <rowItems count="38">
    <i>
      <x/>
    </i>
    <i r="1">
      <x/>
    </i>
    <i r="1">
      <x v="1"/>
    </i>
    <i r="1">
      <x v="2"/>
    </i>
    <i r="1">
      <x v="3"/>
    </i>
    <i r="1">
      <x v="4"/>
    </i>
    <i r="1">
      <x v="5"/>
    </i>
    <i r="1">
      <x v="7"/>
    </i>
    <i r="1">
      <x v="8"/>
    </i>
    <i r="1">
      <x v="9"/>
    </i>
    <i r="1">
      <x v="10"/>
    </i>
    <i r="1">
      <x v="11"/>
    </i>
    <i r="1">
      <x v="12"/>
    </i>
    <i r="1">
      <x v="13"/>
    </i>
    <i r="1">
      <x v="14"/>
    </i>
    <i r="1">
      <x v="15"/>
    </i>
    <i r="1">
      <x v="16"/>
    </i>
    <i r="1">
      <x v="17"/>
    </i>
    <i r="1">
      <x v="18"/>
    </i>
    <i r="1">
      <x v="20"/>
    </i>
    <i r="1">
      <x v="21"/>
    </i>
    <i r="1">
      <x v="22"/>
    </i>
    <i r="1">
      <x v="23"/>
    </i>
    <i r="1">
      <x v="24"/>
    </i>
    <i r="1">
      <x v="25"/>
    </i>
    <i r="1">
      <x v="26"/>
    </i>
    <i r="1">
      <x v="27"/>
    </i>
    <i r="1">
      <x v="28"/>
    </i>
    <i r="1">
      <x v="29"/>
    </i>
    <i r="1">
      <x v="30"/>
    </i>
    <i r="1">
      <x v="31"/>
    </i>
    <i>
      <x v="1"/>
    </i>
    <i r="1">
      <x v="6"/>
    </i>
    <i r="1">
      <x v="19"/>
    </i>
    <i r="1">
      <x v="33"/>
    </i>
    <i>
      <x v="2"/>
    </i>
    <i r="1">
      <x v="32"/>
    </i>
    <i t="grand">
      <x/>
    </i>
  </rowItems>
  <colFields count="1">
    <field x="5"/>
  </colFields>
  <colItems count="5">
    <i>
      <x v="6"/>
    </i>
    <i>
      <x v="7"/>
    </i>
    <i>
      <x v="8"/>
    </i>
    <i>
      <x v="9"/>
    </i>
    <i>
      <x v="10"/>
    </i>
  </colItems>
  <dataFields count="1">
    <dataField name="Suma de matricula" fld="6" baseField="3" baseItem="0" numFmtId="3"/>
  </dataFields>
  <formats count="35">
    <format dxfId="1290">
      <pivotArea type="all" dataOnly="0" outline="0" fieldPosition="0"/>
    </format>
    <format dxfId="1289">
      <pivotArea outline="0" collapsedLevelsAreSubtotals="1" fieldPosition="0"/>
    </format>
    <format dxfId="1288">
      <pivotArea type="origin" dataOnly="0" labelOnly="1" outline="0" fieldPosition="0"/>
    </format>
    <format dxfId="1287">
      <pivotArea field="5" type="button" dataOnly="0" labelOnly="1" outline="0" axis="axisCol" fieldPosition="0"/>
    </format>
    <format dxfId="1286">
      <pivotArea type="topRight" dataOnly="0" labelOnly="1" outline="0" fieldPosition="0"/>
    </format>
    <format dxfId="1285">
      <pivotArea field="3" type="button" dataOnly="0" labelOnly="1" outline="0" axis="axisRow" fieldPosition="1"/>
    </format>
    <format dxfId="1284">
      <pivotArea dataOnly="0" labelOnly="1" fieldPosition="0">
        <references count="1">
          <reference field="3" count="0"/>
        </references>
      </pivotArea>
    </format>
    <format dxfId="1283">
      <pivotArea dataOnly="0" labelOnly="1" grandRow="1" outline="0" fieldPosition="0"/>
    </format>
    <format dxfId="1282">
      <pivotArea dataOnly="0" labelOnly="1" fieldPosition="0">
        <references count="1">
          <reference field="5" count="0"/>
        </references>
      </pivotArea>
    </format>
    <format dxfId="1281">
      <pivotArea type="all" dataOnly="0" outline="0" fieldPosition="0"/>
    </format>
    <format dxfId="1280">
      <pivotArea outline="0" collapsedLevelsAreSubtotals="1" fieldPosition="0"/>
    </format>
    <format dxfId="1279">
      <pivotArea type="origin" dataOnly="0" labelOnly="1" outline="0" fieldPosition="0"/>
    </format>
    <format dxfId="1278">
      <pivotArea field="5" type="button" dataOnly="0" labelOnly="1" outline="0" axis="axisCol" fieldPosition="0"/>
    </format>
    <format dxfId="1277">
      <pivotArea type="topRight" dataOnly="0" labelOnly="1" outline="0" fieldPosition="0"/>
    </format>
    <format dxfId="1276">
      <pivotArea field="3" type="button" dataOnly="0" labelOnly="1" outline="0" axis="axisRow" fieldPosition="1"/>
    </format>
    <format dxfId="1275">
      <pivotArea dataOnly="0" labelOnly="1" fieldPosition="0">
        <references count="1">
          <reference field="3" count="0"/>
        </references>
      </pivotArea>
    </format>
    <format dxfId="1274">
      <pivotArea dataOnly="0" labelOnly="1" grandRow="1" outline="0" fieldPosition="0"/>
    </format>
    <format dxfId="1273">
      <pivotArea dataOnly="0" labelOnly="1" fieldPosition="0">
        <references count="1">
          <reference field="5" count="0"/>
        </references>
      </pivotArea>
    </format>
    <format dxfId="1272">
      <pivotArea type="all" dataOnly="0" outline="0" fieldPosition="0"/>
    </format>
    <format dxfId="1271">
      <pivotArea outline="0" collapsedLevelsAreSubtotals="1" fieldPosition="0"/>
    </format>
    <format dxfId="1270">
      <pivotArea type="origin" dataOnly="0" labelOnly="1" outline="0" fieldPosition="0"/>
    </format>
    <format dxfId="1269">
      <pivotArea field="5" type="button" dataOnly="0" labelOnly="1" outline="0" axis="axisCol" fieldPosition="0"/>
    </format>
    <format dxfId="1268">
      <pivotArea type="topRight" dataOnly="0" labelOnly="1" outline="0" fieldPosition="0"/>
    </format>
    <format dxfId="1267">
      <pivotArea field="0" type="button" dataOnly="0" labelOnly="1" outline="0" axis="axisRow" fieldPosition="0"/>
    </format>
    <format dxfId="1266">
      <pivotArea dataOnly="0" labelOnly="1" fieldPosition="0">
        <references count="1">
          <reference field="0" count="0"/>
        </references>
      </pivotArea>
    </format>
    <format dxfId="1265">
      <pivotArea dataOnly="0" labelOnly="1" grandRow="1" outline="0" fieldPosition="0"/>
    </format>
    <format dxfId="1264">
      <pivotArea dataOnly="0" labelOnly="1" fieldPosition="0">
        <references count="2">
          <reference field="0" count="1" selected="0">
            <x v="0"/>
          </reference>
          <reference field="3" count="30">
            <x v="0"/>
            <x v="1"/>
            <x v="2"/>
            <x v="3"/>
            <x v="4"/>
            <x v="5"/>
            <x v="7"/>
            <x v="8"/>
            <x v="9"/>
            <x v="10"/>
            <x v="11"/>
            <x v="12"/>
            <x v="13"/>
            <x v="14"/>
            <x v="15"/>
            <x v="16"/>
            <x v="17"/>
            <x v="18"/>
            <x v="20"/>
            <x v="21"/>
            <x v="22"/>
            <x v="23"/>
            <x v="24"/>
            <x v="25"/>
            <x v="26"/>
            <x v="27"/>
            <x v="28"/>
            <x v="29"/>
            <x v="30"/>
            <x v="31"/>
          </reference>
        </references>
      </pivotArea>
    </format>
    <format dxfId="1263">
      <pivotArea dataOnly="0" labelOnly="1" fieldPosition="0">
        <references count="2">
          <reference field="0" count="1" selected="0">
            <x v="1"/>
          </reference>
          <reference field="3" count="2">
            <x v="6"/>
            <x v="19"/>
          </reference>
        </references>
      </pivotArea>
    </format>
    <format dxfId="1262">
      <pivotArea dataOnly="0" labelOnly="1" fieldPosition="0">
        <references count="1">
          <reference field="5" count="0"/>
        </references>
      </pivotArea>
    </format>
    <format dxfId="1261">
      <pivotArea type="origin" dataOnly="0" labelOnly="1" outline="0" fieldPosition="0"/>
    </format>
    <format dxfId="1260">
      <pivotArea collapsedLevelsAreSubtotals="1" fieldPosition="0">
        <references count="1">
          <reference field="0" count="1">
            <x v="1"/>
          </reference>
        </references>
      </pivotArea>
    </format>
    <format dxfId="1259">
      <pivotArea collapsedLevelsAreSubtotals="1" fieldPosition="0">
        <references count="1">
          <reference field="0" count="1">
            <x v="1"/>
          </reference>
        </references>
      </pivotArea>
    </format>
    <format dxfId="1258">
      <pivotArea collapsedLevelsAreSubtotals="1" fieldPosition="0">
        <references count="1">
          <reference field="0" count="1">
            <x v="1"/>
          </reference>
        </references>
      </pivotArea>
    </format>
    <format dxfId="1257">
      <pivotArea outline="0" fieldPosition="0">
        <references count="1">
          <reference field="4294967294" count="1">
            <x v="0"/>
          </reference>
        </references>
      </pivotArea>
    </format>
    <format dxfId="1256">
      <pivotArea field="5" grandRow="1" outline="0" collapsedLevelsAreSubtotals="1" axis="axisCol" fieldPosition="0">
        <references count="1">
          <reference field="5" count="1" selected="0">
            <x v="10"/>
          </reference>
        </references>
      </pivotArea>
    </format>
  </formats>
  <pivotTableStyleInfo name="PivotStyleLight1"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ntidad" xr10:uid="{00000000-0013-0000-FFFF-FFFF01000000}" sourceName="entidad">
  <pivotTables>
    <pivotTable tabId="107" name="TablaDinámica7"/>
  </pivotTables>
  <data>
    <tabular pivotCacheId="1311660517">
      <items count="34">
        <i x="0" s="1"/>
        <i x="1" s="1"/>
        <i x="2" s="1"/>
        <i x="3" s="1"/>
        <i x="4" s="1"/>
        <i x="5" s="1"/>
        <i x="6" s="1"/>
        <i x="7" s="1"/>
        <i x="8" s="1"/>
        <i x="9" s="1"/>
        <i x="10" s="1"/>
        <i x="11" s="1"/>
        <i x="12" s="1"/>
        <i x="13" s="1"/>
        <i x="14" s="1"/>
        <i x="15" s="1"/>
        <i x="16" s="1"/>
        <i x="17" s="1"/>
        <i x="18" s="1"/>
        <i x="19" s="1"/>
        <i x="33" s="1"/>
        <i x="32" s="1"/>
        <i x="20" s="1"/>
        <i x="21" s="1"/>
        <i x="22" s="1"/>
        <i x="23" s="1"/>
        <i x="24" s="1"/>
        <i x="25" s="1"/>
        <i x="26" s="1"/>
        <i x="27" s="1"/>
        <i x="28" s="1"/>
        <i x="29" s="1"/>
        <i x="30" s="1"/>
        <i x="3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ntidad 1" xr10:uid="{00000000-0014-0000-FFFF-FFFF01000000}" cache="SegmentaciónDeDatos_entidad" caption="entidad"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ntidad" xr10:uid="{00000000-0014-0000-FFFF-FFFF02000000}" cache="SegmentaciónDeDatos_entidad" caption="entidad"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0000000}" name="Tabla36" displayName="Tabla36" ref="A8:J26" totalsRowShown="0" headerRowDxfId="1531" dataDxfId="1530" headerRowCellStyle="Énfasis3">
  <tableColumns count="10">
    <tableColumn id="1" xr3:uid="{00000000-0010-0000-0000-000001000000}" name="No." dataDxfId="1529" dataCellStyle="20% - Énfasis1"/>
    <tableColumn id="2" xr3:uid="{00000000-0010-0000-0000-000002000000}" name="Indicador" dataDxfId="1528" dataCellStyle="20% - Énfasis1"/>
    <tableColumn id="9" xr3:uid="{00000000-0010-0000-0000-000009000000}" name="2018" dataDxfId="1527"/>
    <tableColumn id="11" xr3:uid="{00000000-0010-0000-0000-00000B000000}" name="2019" dataDxfId="1526"/>
    <tableColumn id="12" xr3:uid="{A0DA8109-CB16-4A01-96FC-0F31C511248B}" name="2020"/>
    <tableColumn id="14" xr3:uid="{1593D0F3-5F17-4D1A-98A7-06BC9ACC729F}" name="2021"/>
    <tableColumn id="13" xr3:uid="{951061C0-76C9-4392-9B07-4A7D426BDDEF}" name="2022"/>
    <tableColumn id="3" xr3:uid="{DEE77101-31FD-4981-80CD-83CDD42DDBE4}" name="Var. 2021-2022" dataDxfId="1525">
      <calculatedColumnFormula>Tabla36[[#This Row],[2022]]-Tabla36[[#This Row],[2021]]</calculatedColumnFormula>
    </tableColumn>
    <tableColumn id="4" xr3:uid="{3A921772-A0B2-4CD6-A9CF-9BD7886B2F7E}" name="Var. 2018-2022" dataDxfId="1524" dataCellStyle="Normal 3 2">
      <calculatedColumnFormula>Tabla36[[#This Row],[2022]]-Tabla36[[#This Row],[2018]]</calculatedColumnFormula>
    </tableColumn>
    <tableColumn id="5" xr3:uid="{1DD8A919-00C5-4473-97A9-FFCE4B614F51}" name="Gráfico" dataDxfId="152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NacionalCobertura791315171921" displayName="NacionalCobertura791315171921" ref="A7:B17" totalsRowShown="0" headerRowDxfId="1046" dataDxfId="1045">
  <tableColumns count="2">
    <tableColumn id="1" xr3:uid="{00000000-0010-0000-0900-000001000000}" name="Año" dataDxfId="1044"/>
    <tableColumn id="2" xr3:uid="{00000000-0010-0000-0900-000002000000}" name="Valor" dataDxfId="1043">
      <calculatedColumnFormula>B58</calculatedColumnFormula>
    </tableColumn>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NacionalCobertura791315171923" displayName="NacionalCobertura791315171923" ref="A7:B13" totalsRowShown="0" headerRowDxfId="1008" dataDxfId="1007">
  <tableColumns count="2">
    <tableColumn id="1" xr3:uid="{00000000-0010-0000-0A00-000001000000}" name="Año" dataDxfId="1006"/>
    <tableColumn id="2" xr3:uid="{00000000-0010-0000-0A00-000002000000}" name="Valor" dataDxfId="1005">
      <calculatedColumnFormula>B54</calculatedColumnFormula>
    </tableColumn>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B000000}" name="NacionalCobertura791125" displayName="NacionalCobertura791125" ref="A7:B13" totalsRowShown="0" headerRowDxfId="968" dataDxfId="967">
  <tableColumns count="2">
    <tableColumn id="1" xr3:uid="{00000000-0010-0000-0B00-000001000000}" name="Año" dataDxfId="966"/>
    <tableColumn id="2" xr3:uid="{00000000-0010-0000-0B00-000002000000}" name="Valor" dataDxfId="965">
      <calculatedColumnFormula>B54</calculatedColumnFormula>
    </tableColumn>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C000000}" name="NacionalCobertura79112527" displayName="NacionalCobertura79112527" ref="A7:B13" totalsRowShown="0" headerRowDxfId="926" dataDxfId="925">
  <tableColumns count="2">
    <tableColumn id="1" xr3:uid="{00000000-0010-0000-0C00-000001000000}" name="Año" dataDxfId="924"/>
    <tableColumn id="2" xr3:uid="{00000000-0010-0000-0C00-000002000000}" name="Valor" dataDxfId="923">
      <calculatedColumnFormula>B54</calculatedColumnFormula>
    </tableColumn>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D000000}" name="NacionalCobertura79131517192329" displayName="NacionalCobertura79131517192329" ref="A7:B16" totalsRowShown="0" headerRowDxfId="888" dataDxfId="887">
  <tableColumns count="2">
    <tableColumn id="1" xr3:uid="{00000000-0010-0000-0D00-000001000000}" name="Año (segundo semestre)" dataDxfId="886"/>
    <tableColumn id="2" xr3:uid="{00000000-0010-0000-0D00-000002000000}" name="Valor" dataDxfId="885">
      <calculatedColumnFormula>B57</calculatedColumnFormula>
    </tableColumn>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E000000}" name="NacionalCobertura791125272" displayName="NacionalCobertura791125272" ref="A7:B13" totalsRowShown="0" headerRowDxfId="847" dataDxfId="846">
  <tableColumns count="2">
    <tableColumn id="1" xr3:uid="{00000000-0010-0000-0E00-000001000000}" name="Año" dataDxfId="845"/>
    <tableColumn id="2" xr3:uid="{00000000-0010-0000-0E00-000002000000}" name="Valor" dataDxfId="844">
      <calculatedColumnFormula>B54</calculatedColumnFormula>
    </tableColumn>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F000000}" name="NacionalCobertura7911252724" displayName="NacionalCobertura7911252724" ref="A7:B16" totalsRowShown="0" headerRowDxfId="806" dataDxfId="805">
  <tableColumns count="2">
    <tableColumn id="1" xr3:uid="{00000000-0010-0000-0F00-000001000000}" name="Año" dataDxfId="804"/>
    <tableColumn id="2" xr3:uid="{00000000-0010-0000-0F00-000002000000}" name="Valor" dataDxfId="803">
      <calculatedColumnFormula>B57</calculatedColumnFormula>
    </tableColumn>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0000000}" name="NacionalCobertura79113236" displayName="NacionalCobertura79113236" ref="A7:B13" totalsRowShown="0" headerRowDxfId="721" dataDxfId="720">
  <tableColumns count="2">
    <tableColumn id="1" xr3:uid="{00000000-0010-0000-1000-000001000000}" name="Año" dataDxfId="719"/>
    <tableColumn id="2" xr3:uid="{00000000-0010-0000-1000-000002000000}" name="Valor" dataDxfId="718">
      <calculatedColumnFormula>B54</calculatedColumnFormula>
    </tableColumn>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1000000}" name="NacionalCobertura79113234" displayName="NacionalCobertura79113234" ref="A7:B13" totalsRowShown="0" headerRowDxfId="681" dataDxfId="680">
  <tableColumns count="2">
    <tableColumn id="1" xr3:uid="{00000000-0010-0000-1100-000001000000}" name="Año" dataDxfId="679"/>
    <tableColumn id="2" xr3:uid="{00000000-0010-0000-1100-000002000000}" name="Valor" dataDxfId="678">
      <calculatedColumnFormula>B54</calculatedColumnFormula>
    </tableColumn>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NacionalCobertura7911326" displayName="NacionalCobertura7911326" ref="A7:B14" totalsRowShown="0" headerRowDxfId="595" dataDxfId="594">
  <tableColumns count="2">
    <tableColumn id="1" xr3:uid="{00000000-0010-0000-1200-000001000000}" name="Año" dataDxfId="593"/>
    <tableColumn id="2" xr3:uid="{00000000-0010-0000-1200-000002000000}" name="Valor" dataDxfId="592">
      <calculatedColumnFormula>B55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acionalCobertura" displayName="NacionalCobertura" ref="A7:B13" totalsRowShown="0" headerRowDxfId="1370" dataDxfId="1369">
  <tableColumns count="2">
    <tableColumn id="1" xr3:uid="{00000000-0010-0000-0100-000001000000}" name="Año" dataDxfId="1368"/>
    <tableColumn id="2" xr3:uid="{00000000-0010-0000-0100-000002000000}" name="Valor" dataDxfId="1367">
      <calculatedColumnFormula>B54</calculatedColumnFormula>
    </tableColumn>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3000000}" name="NacionalCobertura791132" displayName="NacionalCobertura791132" ref="A7:B14" totalsRowShown="0" headerRowDxfId="516" dataDxfId="515">
  <tableColumns count="2">
    <tableColumn id="1" xr3:uid="{00000000-0010-0000-1300-000001000000}" name="Año" dataDxfId="514"/>
    <tableColumn id="2" xr3:uid="{00000000-0010-0000-1300-000002000000}" name="Valor" dataDxfId="513">
      <calculatedColumnFormula>B55</calculatedColumnFormula>
    </tableColumn>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2F9784-60BD-4872-BD6E-2399582BB38A}" name="NacionalCobertura791315171923293910" displayName="NacionalCobertura791315171923293910" ref="A7:B10" totalsRowShown="0" headerRowDxfId="478" dataDxfId="477">
  <tableColumns count="2">
    <tableColumn id="1" xr3:uid="{D2DA0861-8094-4582-8FBB-507C351E92C9}" name="AÑO" dataDxfId="476"/>
    <tableColumn id="2" xr3:uid="{51E9DBF2-85BC-44FE-9D71-C325C7E61A3A}" name="Valor" dataDxfId="475">
      <calculatedColumnFormula>B51</calculatedColumnFormula>
    </tableColumn>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4000000}" name="NacionalCobertura7913151719232939" displayName="NacionalCobertura7913151719232939" ref="A7:B13" totalsRowShown="0" headerRowDxfId="440" dataDxfId="439">
  <tableColumns count="2">
    <tableColumn id="1" xr3:uid="{00000000-0010-0000-1400-000001000000}" name="AÑO" dataDxfId="438"/>
    <tableColumn id="2" xr3:uid="{00000000-0010-0000-1400-000002000000}" name="Valor" dataDxfId="437">
      <calculatedColumnFormula>B54</calculatedColumnFormula>
    </tableColumn>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6000000}" name="NacionalCobertura7913151719232941" displayName="NacionalCobertura7913151719232941" ref="A7:B16" totalsRowShown="0" headerRowDxfId="3" dataDxfId="2">
  <tableColumns count="2">
    <tableColumn id="1" xr3:uid="{00000000-0010-0000-1600-000001000000}" name="Año" dataDxfId="1"/>
    <tableColumn id="2" xr3:uid="{00000000-0010-0000-1600-000002000000}" name="Valor" dataDxfId="0">
      <calculatedColumnFormula>B57</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NacionalCobertura7" displayName="NacionalCobertura7" ref="A7:B13" totalsRowShown="0" headerRowDxfId="1332" dataDxfId="1331">
  <tableColumns count="2">
    <tableColumn id="1" xr3:uid="{00000000-0010-0000-0200-000001000000}" name="Año" dataDxfId="1330"/>
    <tableColumn id="2" xr3:uid="{00000000-0010-0000-0200-000002000000}" name="Valor" dataDxfId="1329">
      <calculatedColumnFormula>B54</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NacionalCobertura79" displayName="NacionalCobertura79" ref="A7:B13" totalsRowShown="0" headerRowDxfId="1294" dataDxfId="1293">
  <tableColumns count="2">
    <tableColumn id="1" xr3:uid="{00000000-0010-0000-0300-000001000000}" name="Año" dataDxfId="1292"/>
    <tableColumn id="2" xr3:uid="{00000000-0010-0000-0300-000002000000}" name="Valor" dataDxfId="1291">
      <calculatedColumnFormula>B54</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NacionalCobertura7911" displayName="NacionalCobertura7911" ref="A7:B13" totalsRowShown="0" headerRowDxfId="1255" dataDxfId="1254">
  <tableColumns count="2">
    <tableColumn id="1" xr3:uid="{00000000-0010-0000-0400-000001000000}" name="Año" dataDxfId="1253"/>
    <tableColumn id="2" xr3:uid="{00000000-0010-0000-0400-000002000000}" name="Valor" dataDxfId="1252">
      <calculatedColumnFormula>B54</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NacionalCobertura7913" displayName="NacionalCobertura7913" ref="A7:B13" totalsRowShown="0" headerRowDxfId="1216" dataDxfId="1215">
  <tableColumns count="2">
    <tableColumn id="1" xr3:uid="{00000000-0010-0000-0500-000001000000}" name="Año" dataDxfId="1214"/>
    <tableColumn id="2" xr3:uid="{00000000-0010-0000-0500-000002000000}" name="Valor" dataDxfId="1213">
      <calculatedColumnFormula>B54</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NacionalCobertura791315" displayName="NacionalCobertura791315" ref="A7:B13" totalsRowShown="0" headerRowDxfId="1178" dataDxfId="1177">
  <tableColumns count="2">
    <tableColumn id="1" xr3:uid="{00000000-0010-0000-0600-000001000000}" name="Año" dataDxfId="1176"/>
    <tableColumn id="2" xr3:uid="{00000000-0010-0000-0600-000002000000}" name="Valor" dataDxfId="1175">
      <calculatedColumnFormula>B54</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NacionalCobertura79131517" displayName="NacionalCobertura79131517" ref="A7:B13" totalsRowShown="0" headerRowDxfId="1122" dataDxfId="1121">
  <tableColumns count="2">
    <tableColumn id="1" xr3:uid="{00000000-0010-0000-0700-000001000000}" name="Año" dataDxfId="1120"/>
    <tableColumn id="2" xr3:uid="{00000000-0010-0000-0700-000002000000}" name="Valor" dataDxfId="1119">
      <calculatedColumnFormula>#REF!</calculatedColumnFormula>
    </tableColumn>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NacionalCobertura7913151719" displayName="NacionalCobertura7913151719" ref="A7:B13" totalsRowShown="0" headerRowDxfId="1084" dataDxfId="1083">
  <tableColumns count="2">
    <tableColumn id="1" xr3:uid="{00000000-0010-0000-0800-000001000000}" name="Año" dataDxfId="1082"/>
    <tableColumn id="2" xr3:uid="{00000000-0010-0000-0800-000002000000}" name="Valor" dataDxfId="1081">
      <calculatedColumnFormula>B54</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ivotTable" Target="../pivotTables/pivotTable6.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pivotTable" Target="../pivotTables/pivotTable7.xml"/><Relationship Id="rId4"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3.bin"/><Relationship Id="rId1" Type="http://schemas.openxmlformats.org/officeDocument/2006/relationships/pivotTable" Target="../pivotTables/pivotTable8.xml"/><Relationship Id="rId4"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ivotTable" Target="../pivotTables/pivotTable9.xml"/><Relationship Id="rId4" Type="http://schemas.openxmlformats.org/officeDocument/2006/relationships/table" Target="../tables/table5.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5.bin"/><Relationship Id="rId1" Type="http://schemas.openxmlformats.org/officeDocument/2006/relationships/pivotTable" Target="../pivotTables/pivotTable10.xml"/><Relationship Id="rId4"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pivotTable" Target="../pivotTables/pivotTable11.xml"/><Relationship Id="rId4"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7.bin"/><Relationship Id="rId1" Type="http://schemas.openxmlformats.org/officeDocument/2006/relationships/pivotTable" Target="../pivotTables/pivotTable12.xml"/><Relationship Id="rId4" Type="http://schemas.openxmlformats.org/officeDocument/2006/relationships/table" Target="../tables/table8.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8.bin"/><Relationship Id="rId1" Type="http://schemas.openxmlformats.org/officeDocument/2006/relationships/pivotTable" Target="../pivotTables/pivotTable13.xml"/><Relationship Id="rId4" Type="http://schemas.openxmlformats.org/officeDocument/2006/relationships/table" Target="../tables/table9.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pivotTable" Target="../pivotTables/pivotTable14.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pivotTable" Target="../pivotTables/pivotTable15.xml"/><Relationship Id="rId4"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1.bin"/><Relationship Id="rId1" Type="http://schemas.openxmlformats.org/officeDocument/2006/relationships/pivotTable" Target="../pivotTables/pivotTable16.xml"/><Relationship Id="rId4"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2.bin"/><Relationship Id="rId1" Type="http://schemas.openxmlformats.org/officeDocument/2006/relationships/pivotTable" Target="../pivotTables/pivotTable17.xml"/><Relationship Id="rId4" Type="http://schemas.openxmlformats.org/officeDocument/2006/relationships/table" Target="../tables/table13.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3.bin"/><Relationship Id="rId1" Type="http://schemas.openxmlformats.org/officeDocument/2006/relationships/pivotTable" Target="../pivotTables/pivotTable18.xml"/><Relationship Id="rId4" Type="http://schemas.openxmlformats.org/officeDocument/2006/relationships/table" Target="../tables/table14.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4.bin"/><Relationship Id="rId1" Type="http://schemas.openxmlformats.org/officeDocument/2006/relationships/pivotTable" Target="../pivotTables/pivotTable19.xml"/><Relationship Id="rId4"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5.bin"/><Relationship Id="rId1" Type="http://schemas.openxmlformats.org/officeDocument/2006/relationships/pivotTable" Target="../pivotTables/pivotTable20.xml"/><Relationship Id="rId4"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6.bin"/><Relationship Id="rId1" Type="http://schemas.openxmlformats.org/officeDocument/2006/relationships/pivotTable" Target="../pivotTables/pivotTable21.xml"/><Relationship Id="rId4" Type="http://schemas.openxmlformats.org/officeDocument/2006/relationships/table" Target="../tables/table17.x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7.bin"/><Relationship Id="rId1" Type="http://schemas.openxmlformats.org/officeDocument/2006/relationships/pivotTable" Target="../pivotTables/pivotTable22.xml"/><Relationship Id="rId4" Type="http://schemas.openxmlformats.org/officeDocument/2006/relationships/table" Target="../tables/table18.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8.bin"/><Relationship Id="rId1" Type="http://schemas.openxmlformats.org/officeDocument/2006/relationships/pivotTable" Target="../pivotTables/pivotTable23.xml"/><Relationship Id="rId4" Type="http://schemas.openxmlformats.org/officeDocument/2006/relationships/table" Target="../tables/table19.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9.bin"/><Relationship Id="rId1" Type="http://schemas.openxmlformats.org/officeDocument/2006/relationships/pivotTable" Target="../pivotTables/pivotTable24.xml"/><Relationship Id="rId4"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0.bin"/><Relationship Id="rId1" Type="http://schemas.openxmlformats.org/officeDocument/2006/relationships/pivotTable" Target="../pivotTables/pivotTable25.xml"/><Relationship Id="rId4" Type="http://schemas.openxmlformats.org/officeDocument/2006/relationships/table" Target="../tables/table21.x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1.bin"/><Relationship Id="rId1" Type="http://schemas.openxmlformats.org/officeDocument/2006/relationships/pivotTable" Target="../pivotTables/pivotTable26.xml"/><Relationship Id="rId4" Type="http://schemas.openxmlformats.org/officeDocument/2006/relationships/table" Target="../tables/table22.x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2.bin"/><Relationship Id="rId1" Type="http://schemas.openxmlformats.org/officeDocument/2006/relationships/pivotTable" Target="../pivotTables/pivotTable27.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3.bin"/><Relationship Id="rId1" Type="http://schemas.openxmlformats.org/officeDocument/2006/relationships/pivotTable" Target="../pivotTables/pivotTable28.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4.bin"/><Relationship Id="rId1" Type="http://schemas.openxmlformats.org/officeDocument/2006/relationships/pivotTable" Target="../pivotTables/pivotTable29.x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5.bin"/><Relationship Id="rId1" Type="http://schemas.openxmlformats.org/officeDocument/2006/relationships/pivotTable" Target="../pivotTables/pivotTable30.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6.bin"/><Relationship Id="rId1" Type="http://schemas.openxmlformats.org/officeDocument/2006/relationships/pivotTable" Target="../pivotTables/pivotTable31.x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7.bin"/><Relationship Id="rId1" Type="http://schemas.openxmlformats.org/officeDocument/2006/relationships/pivotTable" Target="../pivotTables/pivotTable32.x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8.bin"/><Relationship Id="rId1" Type="http://schemas.openxmlformats.org/officeDocument/2006/relationships/pivotTable" Target="../pivotTables/pivotTable33.xm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9.bin"/><Relationship Id="rId1" Type="http://schemas.openxmlformats.org/officeDocument/2006/relationships/pivotTable" Target="../pivotTables/pivotTable34.xml"/><Relationship Id="rId4" Type="http://schemas.openxmlformats.org/officeDocument/2006/relationships/table" Target="../tables/table2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microsoft.com/office/2007/relationships/slicer" Target="../slicers/slicer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4" Type="http://schemas.microsoft.com/office/2007/relationships/slicer" Target="../slicers/slicer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zoomScale="120" zoomScaleNormal="120" workbookViewId="0">
      <selection activeCell="A3" sqref="A3"/>
    </sheetView>
  </sheetViews>
  <sheetFormatPr baseColWidth="10" defaultColWidth="11.42578125" defaultRowHeight="13.5"/>
  <cols>
    <col min="1" max="1" width="23.42578125" style="48" customWidth="1"/>
    <col min="2" max="2" width="16.42578125" style="48" bestFit="1" customWidth="1"/>
    <col min="3" max="3" width="11.85546875" style="48" customWidth="1"/>
    <col min="4" max="8" width="8.7109375" style="48" customWidth="1"/>
    <col min="9" max="9" width="15.140625" style="48" bestFit="1" customWidth="1"/>
    <col min="10" max="10" width="11.5703125" style="48" bestFit="1" customWidth="1"/>
    <col min="11" max="11" width="15.140625" style="48" bestFit="1" customWidth="1"/>
    <col min="12" max="12" width="11.5703125" style="48" bestFit="1" customWidth="1"/>
    <col min="13" max="13" width="15.140625" style="48" bestFit="1" customWidth="1"/>
    <col min="14" max="14" width="11.5703125" style="48" bestFit="1" customWidth="1"/>
    <col min="15" max="15" width="20.140625" style="48" bestFit="1" customWidth="1"/>
    <col min="16" max="16" width="16.5703125" style="48" bestFit="1" customWidth="1"/>
    <col min="17" max="16384" width="11.42578125" style="48"/>
  </cols>
  <sheetData>
    <row r="1" spans="1:18" s="3" customFormat="1" ht="12.75" customHeight="1">
      <c r="A1" s="47" t="s">
        <v>45</v>
      </c>
      <c r="B1" s="49">
        <v>2021</v>
      </c>
      <c r="C1" s="172"/>
      <c r="D1" s="172"/>
      <c r="E1" s="173"/>
      <c r="F1" s="173"/>
      <c r="G1" s="173"/>
      <c r="H1" s="176"/>
    </row>
    <row r="2" spans="1:18" ht="15.75" customHeight="1">
      <c r="A2" s="3"/>
      <c r="B2" s="3"/>
      <c r="C2" s="3"/>
      <c r="D2" s="3"/>
      <c r="E2" s="3"/>
      <c r="F2" s="3"/>
      <c r="G2" s="3"/>
      <c r="H2" s="3"/>
      <c r="I2" s="3"/>
      <c r="J2" s="2"/>
      <c r="K2" s="2"/>
      <c r="L2" s="2"/>
      <c r="M2" s="2"/>
      <c r="N2" s="2"/>
    </row>
    <row r="3" spans="1:18" ht="15">
      <c r="A3" s="47" t="s">
        <v>95</v>
      </c>
      <c r="B3" s="47" t="s">
        <v>94</v>
      </c>
      <c r="C3" s="48" t="s">
        <v>278</v>
      </c>
      <c r="D3"/>
      <c r="E3"/>
      <c r="F3"/>
      <c r="G3"/>
      <c r="H3"/>
      <c r="I3"/>
      <c r="J3"/>
      <c r="K3"/>
      <c r="L3"/>
      <c r="M3"/>
      <c r="N3"/>
      <c r="O3"/>
      <c r="P3"/>
      <c r="Q3"/>
      <c r="R3"/>
    </row>
    <row r="4" spans="1:18" ht="15">
      <c r="A4" s="48" t="s">
        <v>49</v>
      </c>
      <c r="B4" s="48" t="s">
        <v>1</v>
      </c>
      <c r="C4" s="50">
        <v>752</v>
      </c>
      <c r="D4"/>
      <c r="E4"/>
      <c r="F4"/>
      <c r="G4"/>
      <c r="H4"/>
      <c r="I4"/>
      <c r="J4"/>
      <c r="K4"/>
      <c r="L4"/>
      <c r="M4"/>
      <c r="N4"/>
      <c r="O4"/>
      <c r="P4"/>
      <c r="Q4"/>
      <c r="R4"/>
    </row>
    <row r="5" spans="1:18" ht="15">
      <c r="A5" s="48" t="s">
        <v>49</v>
      </c>
      <c r="B5" s="48" t="s">
        <v>3</v>
      </c>
      <c r="C5" s="50">
        <v>1424</v>
      </c>
      <c r="D5"/>
      <c r="E5"/>
      <c r="F5"/>
      <c r="G5"/>
      <c r="H5"/>
      <c r="I5"/>
      <c r="J5"/>
      <c r="K5"/>
      <c r="L5"/>
      <c r="M5"/>
      <c r="N5"/>
      <c r="O5"/>
      <c r="P5"/>
      <c r="Q5"/>
      <c r="R5"/>
    </row>
    <row r="6" spans="1:18" ht="15">
      <c r="A6" s="48" t="s">
        <v>49</v>
      </c>
      <c r="B6" s="48" t="s">
        <v>4</v>
      </c>
      <c r="C6" s="50">
        <v>305</v>
      </c>
      <c r="D6"/>
      <c r="E6"/>
      <c r="F6"/>
      <c r="G6"/>
      <c r="H6"/>
      <c r="I6"/>
      <c r="J6"/>
      <c r="K6"/>
      <c r="L6"/>
      <c r="M6"/>
      <c r="N6"/>
      <c r="O6"/>
      <c r="P6"/>
      <c r="Q6"/>
      <c r="R6"/>
    </row>
    <row r="7" spans="1:18" ht="15">
      <c r="A7" s="48" t="s">
        <v>49</v>
      </c>
      <c r="B7" s="48" t="s">
        <v>5</v>
      </c>
      <c r="C7" s="50">
        <v>369</v>
      </c>
      <c r="D7"/>
      <c r="E7"/>
      <c r="F7"/>
      <c r="G7"/>
      <c r="H7"/>
      <c r="I7"/>
      <c r="J7"/>
      <c r="K7"/>
      <c r="L7"/>
      <c r="M7"/>
      <c r="N7"/>
      <c r="O7"/>
      <c r="P7"/>
      <c r="Q7"/>
      <c r="R7"/>
    </row>
    <row r="8" spans="1:18" ht="15">
      <c r="A8" s="48" t="s">
        <v>49</v>
      </c>
      <c r="B8" s="48" t="s">
        <v>6</v>
      </c>
      <c r="C8" s="50">
        <v>801</v>
      </c>
      <c r="D8"/>
      <c r="E8"/>
      <c r="F8"/>
      <c r="G8"/>
      <c r="H8"/>
      <c r="I8"/>
      <c r="J8"/>
      <c r="K8"/>
      <c r="L8"/>
      <c r="M8"/>
      <c r="N8"/>
      <c r="O8"/>
      <c r="P8"/>
      <c r="Q8"/>
      <c r="R8"/>
    </row>
    <row r="9" spans="1:18" ht="15">
      <c r="A9" s="48" t="s">
        <v>49</v>
      </c>
      <c r="B9" s="48" t="s">
        <v>7</v>
      </c>
      <c r="C9" s="50">
        <v>1986</v>
      </c>
      <c r="D9"/>
      <c r="E9"/>
      <c r="F9"/>
      <c r="G9"/>
      <c r="H9"/>
      <c r="I9"/>
      <c r="J9"/>
      <c r="K9"/>
      <c r="L9"/>
      <c r="M9"/>
      <c r="N9"/>
      <c r="O9"/>
      <c r="P9"/>
      <c r="Q9"/>
      <c r="R9"/>
    </row>
    <row r="10" spans="1:18" ht="15">
      <c r="A10" s="48" t="s">
        <v>49</v>
      </c>
      <c r="B10" s="48" t="s">
        <v>31</v>
      </c>
      <c r="C10" s="50">
        <v>1011</v>
      </c>
      <c r="D10"/>
      <c r="E10"/>
      <c r="F10"/>
      <c r="G10"/>
      <c r="H10"/>
      <c r="I10"/>
      <c r="J10"/>
      <c r="K10"/>
      <c r="L10"/>
      <c r="M10"/>
      <c r="N10"/>
      <c r="O10"/>
      <c r="P10"/>
      <c r="Q10"/>
      <c r="R10"/>
    </row>
    <row r="11" spans="1:18" ht="15">
      <c r="A11" s="48" t="s">
        <v>49</v>
      </c>
      <c r="B11" s="48" t="s">
        <v>8</v>
      </c>
      <c r="C11" s="50">
        <v>377</v>
      </c>
      <c r="D11"/>
      <c r="E11"/>
      <c r="F11"/>
      <c r="G11"/>
      <c r="H11"/>
      <c r="I11"/>
      <c r="J11"/>
      <c r="K11"/>
      <c r="L11"/>
      <c r="M11"/>
      <c r="N11"/>
      <c r="O11"/>
      <c r="P11"/>
      <c r="Q11"/>
      <c r="R11"/>
    </row>
    <row r="12" spans="1:18" ht="15">
      <c r="A12" s="48" t="s">
        <v>49</v>
      </c>
      <c r="B12" s="48" t="s">
        <v>9</v>
      </c>
      <c r="C12" s="50">
        <v>422</v>
      </c>
      <c r="D12"/>
      <c r="E12"/>
      <c r="F12"/>
      <c r="G12"/>
      <c r="H12"/>
      <c r="I12"/>
      <c r="J12"/>
      <c r="K12"/>
      <c r="L12"/>
      <c r="M12"/>
      <c r="N12"/>
      <c r="O12"/>
      <c r="P12"/>
      <c r="Q12"/>
      <c r="R12"/>
    </row>
    <row r="13" spans="1:18" ht="15">
      <c r="A13" s="48" t="s">
        <v>49</v>
      </c>
      <c r="B13" s="48" t="s">
        <v>10</v>
      </c>
      <c r="C13" s="50">
        <v>3155</v>
      </c>
      <c r="D13"/>
      <c r="E13"/>
      <c r="F13"/>
      <c r="G13"/>
      <c r="H13"/>
      <c r="I13"/>
      <c r="J13"/>
      <c r="K13"/>
      <c r="L13"/>
      <c r="M13"/>
      <c r="N13"/>
      <c r="O13"/>
      <c r="P13"/>
      <c r="Q13"/>
      <c r="R13"/>
    </row>
    <row r="14" spans="1:18" ht="15">
      <c r="A14" s="48" t="s">
        <v>49</v>
      </c>
      <c r="B14" s="48" t="s">
        <v>11</v>
      </c>
      <c r="C14" s="50">
        <v>1289</v>
      </c>
      <c r="D14"/>
      <c r="E14"/>
      <c r="F14"/>
      <c r="G14"/>
      <c r="H14"/>
      <c r="I14"/>
      <c r="J14"/>
      <c r="K14"/>
      <c r="L14"/>
      <c r="M14"/>
      <c r="N14"/>
      <c r="O14"/>
      <c r="P14"/>
      <c r="Q14"/>
      <c r="R14"/>
    </row>
    <row r="15" spans="1:18" ht="15">
      <c r="A15" s="48" t="s">
        <v>49</v>
      </c>
      <c r="B15" s="48" t="s">
        <v>12</v>
      </c>
      <c r="C15" s="50">
        <v>574</v>
      </c>
      <c r="D15"/>
      <c r="E15"/>
      <c r="F15"/>
      <c r="G15"/>
      <c r="H15"/>
      <c r="I15"/>
      <c r="J15"/>
      <c r="K15"/>
      <c r="L15"/>
      <c r="M15"/>
      <c r="N15"/>
      <c r="O15"/>
      <c r="P15"/>
      <c r="Q15"/>
      <c r="R15"/>
    </row>
    <row r="16" spans="1:18" ht="15">
      <c r="A16" s="48" t="s">
        <v>49</v>
      </c>
      <c r="B16" s="48" t="s">
        <v>13</v>
      </c>
      <c r="C16" s="50">
        <v>2147</v>
      </c>
      <c r="D16"/>
      <c r="E16"/>
      <c r="F16"/>
      <c r="G16"/>
      <c r="H16"/>
      <c r="I16"/>
      <c r="J16"/>
      <c r="K16"/>
      <c r="L16"/>
      <c r="M16"/>
      <c r="N16"/>
      <c r="O16"/>
      <c r="P16"/>
      <c r="Q16"/>
      <c r="R16"/>
    </row>
    <row r="17" spans="1:18" ht="15">
      <c r="A17" s="48" t="s">
        <v>49</v>
      </c>
      <c r="B17" s="48" t="s">
        <v>14</v>
      </c>
      <c r="C17" s="50">
        <v>6420</v>
      </c>
      <c r="D17"/>
      <c r="E17"/>
      <c r="F17"/>
      <c r="G17"/>
      <c r="H17"/>
      <c r="I17"/>
      <c r="J17"/>
      <c r="K17"/>
      <c r="L17"/>
      <c r="M17"/>
      <c r="N17"/>
      <c r="O17"/>
      <c r="P17"/>
      <c r="Q17"/>
      <c r="R17"/>
    </row>
    <row r="18" spans="1:18" ht="15">
      <c r="A18" s="48" t="s">
        <v>49</v>
      </c>
      <c r="B18" s="48" t="s">
        <v>30</v>
      </c>
      <c r="C18" s="50">
        <v>2180</v>
      </c>
      <c r="D18"/>
      <c r="E18"/>
      <c r="F18"/>
      <c r="G18"/>
      <c r="H18"/>
      <c r="I18"/>
      <c r="J18"/>
      <c r="K18"/>
      <c r="L18"/>
      <c r="M18"/>
      <c r="N18"/>
      <c r="O18"/>
      <c r="P18"/>
      <c r="Q18"/>
      <c r="R18"/>
    </row>
    <row r="19" spans="1:18" ht="15">
      <c r="A19" s="48" t="s">
        <v>49</v>
      </c>
      <c r="B19" s="48" t="s">
        <v>15</v>
      </c>
      <c r="C19" s="50">
        <v>985</v>
      </c>
      <c r="D19"/>
      <c r="E19"/>
      <c r="F19"/>
      <c r="G19"/>
      <c r="H19"/>
      <c r="I19"/>
      <c r="J19"/>
      <c r="K19"/>
      <c r="L19"/>
      <c r="M19"/>
      <c r="N19"/>
      <c r="O19"/>
      <c r="P19"/>
      <c r="Q19"/>
      <c r="R19"/>
    </row>
    <row r="20" spans="1:18" ht="15">
      <c r="A20" s="48" t="s">
        <v>49</v>
      </c>
      <c r="B20" s="48" t="s">
        <v>16</v>
      </c>
      <c r="C20" s="50">
        <v>761</v>
      </c>
      <c r="D20"/>
      <c r="E20"/>
      <c r="F20"/>
      <c r="G20"/>
      <c r="H20"/>
      <c r="I20"/>
      <c r="J20"/>
      <c r="K20"/>
      <c r="L20"/>
      <c r="M20"/>
      <c r="N20"/>
      <c r="O20"/>
      <c r="P20"/>
      <c r="Q20"/>
      <c r="R20"/>
    </row>
    <row r="21" spans="1:18" ht="15">
      <c r="A21" s="48" t="s">
        <v>49</v>
      </c>
      <c r="B21" s="48" t="s">
        <v>17</v>
      </c>
      <c r="C21" s="50">
        <v>1559</v>
      </c>
      <c r="D21"/>
      <c r="E21"/>
      <c r="F21"/>
      <c r="G21"/>
      <c r="H21"/>
      <c r="I21"/>
      <c r="J21"/>
      <c r="K21"/>
      <c r="L21"/>
      <c r="M21"/>
      <c r="N21"/>
      <c r="O21"/>
      <c r="P21"/>
      <c r="Q21"/>
      <c r="R21"/>
    </row>
    <row r="22" spans="1:18" ht="15">
      <c r="A22" s="48" t="s">
        <v>49</v>
      </c>
      <c r="B22" s="48" t="s">
        <v>18</v>
      </c>
      <c r="C22" s="50">
        <v>750</v>
      </c>
      <c r="D22"/>
      <c r="E22"/>
      <c r="F22"/>
      <c r="G22"/>
      <c r="H22"/>
      <c r="I22"/>
      <c r="J22"/>
      <c r="K22"/>
      <c r="L22"/>
      <c r="M22"/>
      <c r="N22"/>
      <c r="O22"/>
      <c r="P22"/>
      <c r="Q22"/>
      <c r="R22"/>
    </row>
    <row r="23" spans="1:18" ht="15">
      <c r="A23" s="48" t="s">
        <v>49</v>
      </c>
      <c r="B23" s="48" t="s">
        <v>29</v>
      </c>
      <c r="C23" s="50">
        <v>832</v>
      </c>
      <c r="D23"/>
      <c r="E23"/>
      <c r="F23"/>
      <c r="G23"/>
      <c r="H23"/>
      <c r="I23"/>
      <c r="J23"/>
      <c r="K23"/>
      <c r="L23"/>
      <c r="M23"/>
      <c r="N23"/>
      <c r="O23"/>
      <c r="P23"/>
      <c r="Q23"/>
      <c r="R23"/>
    </row>
    <row r="24" spans="1:18" ht="15">
      <c r="A24" s="48" t="s">
        <v>49</v>
      </c>
      <c r="B24" s="48" t="s">
        <v>19</v>
      </c>
      <c r="C24" s="50">
        <v>682</v>
      </c>
      <c r="D24"/>
      <c r="E24"/>
      <c r="F24"/>
      <c r="G24"/>
      <c r="H24"/>
      <c r="I24"/>
      <c r="J24"/>
      <c r="K24"/>
      <c r="L24"/>
      <c r="M24"/>
      <c r="N24"/>
      <c r="O24"/>
      <c r="P24"/>
      <c r="Q24"/>
      <c r="R24"/>
    </row>
    <row r="25" spans="1:18" ht="15">
      <c r="A25" s="48" t="s">
        <v>49</v>
      </c>
      <c r="B25" s="48" t="s">
        <v>20</v>
      </c>
      <c r="C25" s="50">
        <v>699</v>
      </c>
      <c r="D25"/>
      <c r="E25"/>
      <c r="F25"/>
      <c r="G25"/>
      <c r="H25"/>
      <c r="I25"/>
      <c r="J25"/>
      <c r="K25"/>
      <c r="L25"/>
      <c r="M25"/>
      <c r="N25"/>
      <c r="O25"/>
      <c r="P25"/>
      <c r="Q25"/>
      <c r="R25"/>
    </row>
    <row r="26" spans="1:18" ht="15">
      <c r="A26" s="48" t="s">
        <v>49</v>
      </c>
      <c r="B26" s="48" t="s">
        <v>21</v>
      </c>
      <c r="C26" s="50">
        <v>1135</v>
      </c>
      <c r="D26"/>
      <c r="E26"/>
      <c r="F26"/>
      <c r="G26"/>
      <c r="H26"/>
      <c r="I26"/>
      <c r="J26"/>
      <c r="K26"/>
      <c r="L26"/>
      <c r="M26"/>
      <c r="N26"/>
      <c r="O26"/>
      <c r="P26"/>
      <c r="Q26"/>
      <c r="R26"/>
    </row>
    <row r="27" spans="1:18" ht="15">
      <c r="A27" s="48" t="s">
        <v>49</v>
      </c>
      <c r="B27" s="48" t="s">
        <v>22</v>
      </c>
      <c r="C27" s="50">
        <v>2596</v>
      </c>
      <c r="D27"/>
      <c r="E27"/>
      <c r="F27"/>
      <c r="G27"/>
      <c r="H27"/>
      <c r="I27"/>
      <c r="J27"/>
      <c r="K27"/>
      <c r="L27"/>
      <c r="M27"/>
      <c r="N27"/>
      <c r="O27"/>
      <c r="P27"/>
      <c r="Q27"/>
      <c r="R27"/>
    </row>
    <row r="28" spans="1:18" ht="15">
      <c r="A28" s="48" t="s">
        <v>49</v>
      </c>
      <c r="B28" s="48" t="s">
        <v>23</v>
      </c>
      <c r="C28" s="50">
        <v>455</v>
      </c>
      <c r="D28"/>
      <c r="E28"/>
      <c r="F28"/>
      <c r="G28"/>
      <c r="H28"/>
      <c r="I28"/>
      <c r="J28"/>
      <c r="K28"/>
      <c r="L28"/>
      <c r="M28"/>
      <c r="N28"/>
      <c r="O28"/>
      <c r="P28"/>
      <c r="Q28"/>
      <c r="R28"/>
    </row>
    <row r="29" spans="1:18" ht="15">
      <c r="A29" s="48" t="s">
        <v>49</v>
      </c>
      <c r="B29" s="48" t="s">
        <v>24</v>
      </c>
      <c r="C29" s="50">
        <v>1374</v>
      </c>
      <c r="D29"/>
      <c r="E29"/>
      <c r="F29"/>
      <c r="G29"/>
      <c r="H29"/>
      <c r="I29"/>
      <c r="J29"/>
      <c r="K29"/>
      <c r="L29"/>
      <c r="M29"/>
      <c r="N29"/>
      <c r="O29"/>
      <c r="P29"/>
      <c r="Q29"/>
      <c r="R29"/>
    </row>
    <row r="30" spans="1:18" ht="15">
      <c r="A30" s="48" t="s">
        <v>49</v>
      </c>
      <c r="B30" s="48" t="s">
        <v>25</v>
      </c>
      <c r="C30" s="50">
        <v>365</v>
      </c>
      <c r="D30"/>
      <c r="E30"/>
      <c r="F30"/>
      <c r="G30"/>
      <c r="H30"/>
      <c r="I30"/>
      <c r="J30"/>
      <c r="K30"/>
      <c r="L30"/>
      <c r="M30"/>
      <c r="N30"/>
      <c r="O30"/>
      <c r="P30"/>
      <c r="Q30"/>
      <c r="R30"/>
    </row>
    <row r="31" spans="1:18" ht="15">
      <c r="A31" s="48" t="s">
        <v>49</v>
      </c>
      <c r="B31" s="48" t="s">
        <v>53</v>
      </c>
      <c r="C31" s="50">
        <v>803</v>
      </c>
      <c r="D31"/>
      <c r="E31"/>
      <c r="F31"/>
      <c r="G31"/>
      <c r="H31"/>
      <c r="I31"/>
      <c r="J31"/>
      <c r="K31"/>
      <c r="L31"/>
      <c r="M31"/>
      <c r="N31"/>
      <c r="O31"/>
      <c r="P31"/>
      <c r="Q31"/>
      <c r="R31"/>
    </row>
    <row r="32" spans="1:18" ht="15">
      <c r="A32" s="48" t="s">
        <v>49</v>
      </c>
      <c r="B32" s="48" t="s">
        <v>26</v>
      </c>
      <c r="C32" s="50">
        <v>1129</v>
      </c>
      <c r="D32"/>
      <c r="E32"/>
      <c r="F32"/>
      <c r="G32"/>
      <c r="H32"/>
      <c r="I32"/>
      <c r="J32"/>
      <c r="K32"/>
      <c r="L32"/>
      <c r="M32"/>
      <c r="N32"/>
      <c r="O32"/>
      <c r="P32"/>
      <c r="Q32"/>
      <c r="R32"/>
    </row>
    <row r="33" spans="1:18" ht="15">
      <c r="A33" s="48" t="s">
        <v>49</v>
      </c>
      <c r="B33" s="48" t="s">
        <v>27</v>
      </c>
      <c r="C33" s="50">
        <v>300</v>
      </c>
      <c r="D33"/>
      <c r="E33"/>
      <c r="F33"/>
      <c r="G33"/>
      <c r="H33"/>
      <c r="I33"/>
      <c r="J33"/>
      <c r="K33"/>
      <c r="L33"/>
      <c r="M33"/>
      <c r="N33"/>
      <c r="O33"/>
      <c r="P33"/>
      <c r="Q33"/>
      <c r="R33"/>
    </row>
    <row r="34" spans="1:18" ht="15">
      <c r="A34" s="48" t="s">
        <v>279</v>
      </c>
      <c r="C34" s="50">
        <v>37637</v>
      </c>
      <c r="D34"/>
      <c r="E34"/>
      <c r="F34"/>
      <c r="G34"/>
      <c r="H34"/>
      <c r="I34"/>
      <c r="J34"/>
      <c r="K34"/>
      <c r="L34"/>
      <c r="M34"/>
      <c r="N34"/>
      <c r="O34"/>
      <c r="P34"/>
      <c r="Q34"/>
      <c r="R34"/>
    </row>
    <row r="35" spans="1:18" ht="15">
      <c r="A35" s="48" t="s">
        <v>50</v>
      </c>
      <c r="B35" s="48" t="s">
        <v>32</v>
      </c>
      <c r="C35" s="50">
        <v>6281</v>
      </c>
      <c r="D35"/>
      <c r="E35"/>
      <c r="F35"/>
      <c r="G35"/>
      <c r="H35"/>
      <c r="I35"/>
      <c r="J35"/>
      <c r="K35"/>
      <c r="L35"/>
      <c r="M35"/>
      <c r="N35"/>
      <c r="O35"/>
      <c r="P35"/>
      <c r="Q35"/>
      <c r="R35"/>
    </row>
    <row r="36" spans="1:18" ht="15">
      <c r="A36" s="48" t="s">
        <v>50</v>
      </c>
      <c r="B36" s="48" t="s">
        <v>28</v>
      </c>
      <c r="C36" s="50">
        <v>1671</v>
      </c>
      <c r="D36"/>
      <c r="E36"/>
      <c r="F36"/>
      <c r="G36"/>
      <c r="H36"/>
      <c r="I36"/>
      <c r="J36"/>
      <c r="K36"/>
      <c r="L36"/>
      <c r="M36"/>
      <c r="N36"/>
      <c r="O36"/>
      <c r="P36"/>
      <c r="Q36"/>
      <c r="R36"/>
    </row>
    <row r="37" spans="1:18" ht="15">
      <c r="A37" s="48" t="s">
        <v>280</v>
      </c>
      <c r="C37" s="50">
        <v>7952</v>
      </c>
      <c r="D37" s="3"/>
      <c r="E37" s="3"/>
      <c r="F37" s="3"/>
      <c r="G37" s="3"/>
      <c r="H37" s="3"/>
      <c r="I37" s="3"/>
      <c r="J37" s="2"/>
      <c r="K37" s="2"/>
      <c r="L37" s="2"/>
      <c r="M37" s="2"/>
      <c r="N37" s="2"/>
    </row>
    <row r="38" spans="1:18" ht="15" hidden="1" customHeight="1">
      <c r="A38" s="48" t="s">
        <v>37</v>
      </c>
      <c r="C38" s="50">
        <v>45589</v>
      </c>
      <c r="D38" s="3"/>
      <c r="E38" s="3"/>
      <c r="F38" s="3"/>
      <c r="G38" s="3"/>
      <c r="H38" s="3"/>
      <c r="I38" s="3"/>
    </row>
    <row r="39" spans="1:18" ht="13.5" hidden="1" customHeight="1">
      <c r="A39" s="3"/>
      <c r="B39" s="3"/>
      <c r="C39" s="3"/>
      <c r="D39" s="3"/>
      <c r="E39" s="3"/>
      <c r="F39" s="3"/>
      <c r="G39" s="3"/>
      <c r="H39" s="3"/>
      <c r="I39" s="3"/>
    </row>
    <row r="40" spans="1:18" ht="13.5" hidden="1" customHeight="1">
      <c r="A40" s="3"/>
      <c r="B40" s="3"/>
      <c r="C40" s="3"/>
      <c r="D40" s="3"/>
      <c r="E40" s="3"/>
      <c r="F40" s="3"/>
      <c r="G40" s="3"/>
      <c r="H40" s="3"/>
      <c r="I40" s="3"/>
    </row>
    <row r="41" spans="1:18" ht="13.5" hidden="1" customHeight="1">
      <c r="A41" s="3"/>
      <c r="B41" s="3"/>
      <c r="C41" s="3"/>
      <c r="D41" s="3"/>
      <c r="E41" s="3"/>
      <c r="F41" s="3"/>
      <c r="G41" s="3"/>
      <c r="H41" s="3"/>
      <c r="I41" s="3"/>
    </row>
    <row r="42" spans="1:18" ht="6" customHeight="1"/>
    <row r="43" spans="1:18" ht="24" customHeight="1">
      <c r="A43" s="174" t="s">
        <v>155</v>
      </c>
      <c r="B43" s="175"/>
      <c r="C43" s="175"/>
      <c r="D43" s="175"/>
      <c r="E43" s="175"/>
      <c r="F43" s="175"/>
      <c r="G43" s="175"/>
      <c r="H43" s="175"/>
    </row>
  </sheetData>
  <pageMargins left="0.51181102362204722" right="0.51181102362204722" top="0.55118110236220474" bottom="0.55118110236220474" header="0.31496062992125984" footer="0.31496062992125984"/>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zoomScaleSheetLayoutView="100" zoomScalePageLayoutView="75" workbookViewId="0">
      <selection activeCell="I10" sqref="I10"/>
    </sheetView>
  </sheetViews>
  <sheetFormatPr baseColWidth="10" defaultRowHeight="15"/>
  <cols>
    <col min="1" max="1" width="25.7109375" style="7" customWidth="1"/>
    <col min="2" max="6" width="12.7109375" style="7" customWidth="1"/>
    <col min="7" max="250" width="11.42578125" style="7"/>
    <col min="251" max="251" width="5.42578125" style="7" customWidth="1"/>
    <col min="252" max="252" width="25.42578125" style="7" customWidth="1"/>
    <col min="253" max="253" width="9.140625" style="7" customWidth="1"/>
    <col min="254" max="254" width="8.42578125" style="7" customWidth="1"/>
    <col min="255" max="255" width="33.5703125" style="7" customWidth="1"/>
    <col min="256" max="256" width="11.140625" style="7" customWidth="1"/>
    <col min="257" max="506" width="11.42578125" style="7"/>
    <col min="507" max="507" width="5.42578125" style="7" customWidth="1"/>
    <col min="508" max="508" width="25.42578125" style="7" customWidth="1"/>
    <col min="509" max="509" width="9.140625" style="7" customWidth="1"/>
    <col min="510" max="510" width="8.42578125" style="7" customWidth="1"/>
    <col min="511" max="511" width="33.5703125" style="7" customWidth="1"/>
    <col min="512" max="512" width="11.140625" style="7" customWidth="1"/>
    <col min="513" max="762" width="11.42578125" style="7"/>
    <col min="763" max="763" width="5.42578125" style="7" customWidth="1"/>
    <col min="764" max="764" width="25.42578125" style="7" customWidth="1"/>
    <col min="765" max="765" width="9.140625" style="7" customWidth="1"/>
    <col min="766" max="766" width="8.42578125" style="7" customWidth="1"/>
    <col min="767" max="767" width="33.5703125" style="7" customWidth="1"/>
    <col min="768" max="768" width="11.140625" style="7" customWidth="1"/>
    <col min="769" max="1018" width="11.42578125" style="7"/>
    <col min="1019" max="1019" width="5.42578125" style="7" customWidth="1"/>
    <col min="1020" max="1020" width="25.42578125" style="7" customWidth="1"/>
    <col min="1021" max="1021" width="9.140625" style="7" customWidth="1"/>
    <col min="1022" max="1022" width="8.42578125" style="7" customWidth="1"/>
    <col min="1023" max="1023" width="33.5703125" style="7" customWidth="1"/>
    <col min="1024" max="1024" width="11.140625" style="7" customWidth="1"/>
    <col min="1025" max="1274" width="11.42578125" style="7"/>
    <col min="1275" max="1275" width="5.42578125" style="7" customWidth="1"/>
    <col min="1276" max="1276" width="25.42578125" style="7" customWidth="1"/>
    <col min="1277" max="1277" width="9.140625" style="7" customWidth="1"/>
    <col min="1278" max="1278" width="8.42578125" style="7" customWidth="1"/>
    <col min="1279" max="1279" width="33.5703125" style="7" customWidth="1"/>
    <col min="1280" max="1280" width="11.140625" style="7" customWidth="1"/>
    <col min="1281" max="1530" width="11.42578125" style="7"/>
    <col min="1531" max="1531" width="5.42578125" style="7" customWidth="1"/>
    <col min="1532" max="1532" width="25.42578125" style="7" customWidth="1"/>
    <col min="1533" max="1533" width="9.140625" style="7" customWidth="1"/>
    <col min="1534" max="1534" width="8.42578125" style="7" customWidth="1"/>
    <col min="1535" max="1535" width="33.5703125" style="7" customWidth="1"/>
    <col min="1536" max="1536" width="11.140625" style="7" customWidth="1"/>
    <col min="1537" max="1786" width="11.42578125" style="7"/>
    <col min="1787" max="1787" width="5.42578125" style="7" customWidth="1"/>
    <col min="1788" max="1788" width="25.42578125" style="7" customWidth="1"/>
    <col min="1789" max="1789" width="9.140625" style="7" customWidth="1"/>
    <col min="1790" max="1790" width="8.42578125" style="7" customWidth="1"/>
    <col min="1791" max="1791" width="33.5703125" style="7" customWidth="1"/>
    <col min="1792" max="1792" width="11.140625" style="7" customWidth="1"/>
    <col min="1793" max="2042" width="11.42578125" style="7"/>
    <col min="2043" max="2043" width="5.42578125" style="7" customWidth="1"/>
    <col min="2044" max="2044" width="25.42578125" style="7" customWidth="1"/>
    <col min="2045" max="2045" width="9.140625" style="7" customWidth="1"/>
    <col min="2046" max="2046" width="8.42578125" style="7" customWidth="1"/>
    <col min="2047" max="2047" width="33.5703125" style="7" customWidth="1"/>
    <col min="2048" max="2048" width="11.140625" style="7" customWidth="1"/>
    <col min="2049" max="2298" width="11.42578125" style="7"/>
    <col min="2299" max="2299" width="5.42578125" style="7" customWidth="1"/>
    <col min="2300" max="2300" width="25.42578125" style="7" customWidth="1"/>
    <col min="2301" max="2301" width="9.140625" style="7" customWidth="1"/>
    <col min="2302" max="2302" width="8.42578125" style="7" customWidth="1"/>
    <col min="2303" max="2303" width="33.5703125" style="7" customWidth="1"/>
    <col min="2304" max="2304" width="11.140625" style="7" customWidth="1"/>
    <col min="2305" max="2554" width="11.42578125" style="7"/>
    <col min="2555" max="2555" width="5.42578125" style="7" customWidth="1"/>
    <col min="2556" max="2556" width="25.42578125" style="7" customWidth="1"/>
    <col min="2557" max="2557" width="9.140625" style="7" customWidth="1"/>
    <col min="2558" max="2558" width="8.42578125" style="7" customWidth="1"/>
    <col min="2559" max="2559" width="33.5703125" style="7" customWidth="1"/>
    <col min="2560" max="2560" width="11.140625" style="7" customWidth="1"/>
    <col min="2561" max="2810" width="11.42578125" style="7"/>
    <col min="2811" max="2811" width="5.42578125" style="7" customWidth="1"/>
    <col min="2812" max="2812" width="25.42578125" style="7" customWidth="1"/>
    <col min="2813" max="2813" width="9.140625" style="7" customWidth="1"/>
    <col min="2814" max="2814" width="8.42578125" style="7" customWidth="1"/>
    <col min="2815" max="2815" width="33.5703125" style="7" customWidth="1"/>
    <col min="2816" max="2816" width="11.140625" style="7" customWidth="1"/>
    <col min="2817" max="3066" width="11.42578125" style="7"/>
    <col min="3067" max="3067" width="5.42578125" style="7" customWidth="1"/>
    <col min="3068" max="3068" width="25.42578125" style="7" customWidth="1"/>
    <col min="3069" max="3069" width="9.140625" style="7" customWidth="1"/>
    <col min="3070" max="3070" width="8.42578125" style="7" customWidth="1"/>
    <col min="3071" max="3071" width="33.5703125" style="7" customWidth="1"/>
    <col min="3072" max="3072" width="11.140625" style="7" customWidth="1"/>
    <col min="3073" max="3322" width="11.42578125" style="7"/>
    <col min="3323" max="3323" width="5.42578125" style="7" customWidth="1"/>
    <col min="3324" max="3324" width="25.42578125" style="7" customWidth="1"/>
    <col min="3325" max="3325" width="9.140625" style="7" customWidth="1"/>
    <col min="3326" max="3326" width="8.42578125" style="7" customWidth="1"/>
    <col min="3327" max="3327" width="33.5703125" style="7" customWidth="1"/>
    <col min="3328" max="3328" width="11.140625" style="7" customWidth="1"/>
    <col min="3329" max="3578" width="11.42578125" style="7"/>
    <col min="3579" max="3579" width="5.42578125" style="7" customWidth="1"/>
    <col min="3580" max="3580" width="25.42578125" style="7" customWidth="1"/>
    <col min="3581" max="3581" width="9.140625" style="7" customWidth="1"/>
    <col min="3582" max="3582" width="8.42578125" style="7" customWidth="1"/>
    <col min="3583" max="3583" width="33.5703125" style="7" customWidth="1"/>
    <col min="3584" max="3584" width="11.140625" style="7" customWidth="1"/>
    <col min="3585" max="3834" width="11.42578125" style="7"/>
    <col min="3835" max="3835" width="5.42578125" style="7" customWidth="1"/>
    <col min="3836" max="3836" width="25.42578125" style="7" customWidth="1"/>
    <col min="3837" max="3837" width="9.140625" style="7" customWidth="1"/>
    <col min="3838" max="3838" width="8.42578125" style="7" customWidth="1"/>
    <col min="3839" max="3839" width="33.5703125" style="7" customWidth="1"/>
    <col min="3840" max="3840" width="11.140625" style="7" customWidth="1"/>
    <col min="3841" max="4090" width="11.42578125" style="7"/>
    <col min="4091" max="4091" width="5.42578125" style="7" customWidth="1"/>
    <col min="4092" max="4092" width="25.42578125" style="7" customWidth="1"/>
    <col min="4093" max="4093" width="9.140625" style="7" customWidth="1"/>
    <col min="4094" max="4094" width="8.42578125" style="7" customWidth="1"/>
    <col min="4095" max="4095" width="33.5703125" style="7" customWidth="1"/>
    <col min="4096" max="4096" width="11.140625" style="7" customWidth="1"/>
    <col min="4097" max="4346" width="11.42578125" style="7"/>
    <col min="4347" max="4347" width="5.42578125" style="7" customWidth="1"/>
    <col min="4348" max="4348" width="25.42578125" style="7" customWidth="1"/>
    <col min="4349" max="4349" width="9.140625" style="7" customWidth="1"/>
    <col min="4350" max="4350" width="8.42578125" style="7" customWidth="1"/>
    <col min="4351" max="4351" width="33.5703125" style="7" customWidth="1"/>
    <col min="4352" max="4352" width="11.140625" style="7" customWidth="1"/>
    <col min="4353" max="4602" width="11.42578125" style="7"/>
    <col min="4603" max="4603" width="5.42578125" style="7" customWidth="1"/>
    <col min="4604" max="4604" width="25.42578125" style="7" customWidth="1"/>
    <col min="4605" max="4605" width="9.140625" style="7" customWidth="1"/>
    <col min="4606" max="4606" width="8.42578125" style="7" customWidth="1"/>
    <col min="4607" max="4607" width="33.5703125" style="7" customWidth="1"/>
    <col min="4608" max="4608" width="11.140625" style="7" customWidth="1"/>
    <col min="4609" max="4858" width="11.42578125" style="7"/>
    <col min="4859" max="4859" width="5.42578125" style="7" customWidth="1"/>
    <col min="4860" max="4860" width="25.42578125" style="7" customWidth="1"/>
    <col min="4861" max="4861" width="9.140625" style="7" customWidth="1"/>
    <col min="4862" max="4862" width="8.42578125" style="7" customWidth="1"/>
    <col min="4863" max="4863" width="33.5703125" style="7" customWidth="1"/>
    <col min="4864" max="4864" width="11.140625" style="7" customWidth="1"/>
    <col min="4865" max="5114" width="11.42578125" style="7"/>
    <col min="5115" max="5115" width="5.42578125" style="7" customWidth="1"/>
    <col min="5116" max="5116" width="25.42578125" style="7" customWidth="1"/>
    <col min="5117" max="5117" width="9.140625" style="7" customWidth="1"/>
    <col min="5118" max="5118" width="8.42578125" style="7" customWidth="1"/>
    <col min="5119" max="5119" width="33.5703125" style="7" customWidth="1"/>
    <col min="5120" max="5120" width="11.140625" style="7" customWidth="1"/>
    <col min="5121" max="5370" width="11.42578125" style="7"/>
    <col min="5371" max="5371" width="5.42578125" style="7" customWidth="1"/>
    <col min="5372" max="5372" width="25.42578125" style="7" customWidth="1"/>
    <col min="5373" max="5373" width="9.140625" style="7" customWidth="1"/>
    <col min="5374" max="5374" width="8.42578125" style="7" customWidth="1"/>
    <col min="5375" max="5375" width="33.5703125" style="7" customWidth="1"/>
    <col min="5376" max="5376" width="11.140625" style="7" customWidth="1"/>
    <col min="5377" max="5626" width="11.42578125" style="7"/>
    <col min="5627" max="5627" width="5.42578125" style="7" customWidth="1"/>
    <col min="5628" max="5628" width="25.42578125" style="7" customWidth="1"/>
    <col min="5629" max="5629" width="9.140625" style="7" customWidth="1"/>
    <col min="5630" max="5630" width="8.42578125" style="7" customWidth="1"/>
    <col min="5631" max="5631" width="33.5703125" style="7" customWidth="1"/>
    <col min="5632" max="5632" width="11.140625" style="7" customWidth="1"/>
    <col min="5633" max="5882" width="11.42578125" style="7"/>
    <col min="5883" max="5883" width="5.42578125" style="7" customWidth="1"/>
    <col min="5884" max="5884" width="25.42578125" style="7" customWidth="1"/>
    <col min="5885" max="5885" width="9.140625" style="7" customWidth="1"/>
    <col min="5886" max="5886" width="8.42578125" style="7" customWidth="1"/>
    <col min="5887" max="5887" width="33.5703125" style="7" customWidth="1"/>
    <col min="5888" max="5888" width="11.140625" style="7" customWidth="1"/>
    <col min="5889" max="6138" width="11.42578125" style="7"/>
    <col min="6139" max="6139" width="5.42578125" style="7" customWidth="1"/>
    <col min="6140" max="6140" width="25.42578125" style="7" customWidth="1"/>
    <col min="6141" max="6141" width="9.140625" style="7" customWidth="1"/>
    <col min="6142" max="6142" width="8.42578125" style="7" customWidth="1"/>
    <col min="6143" max="6143" width="33.5703125" style="7" customWidth="1"/>
    <col min="6144" max="6144" width="11.140625" style="7" customWidth="1"/>
    <col min="6145" max="6394" width="11.42578125" style="7"/>
    <col min="6395" max="6395" width="5.42578125" style="7" customWidth="1"/>
    <col min="6396" max="6396" width="25.42578125" style="7" customWidth="1"/>
    <col min="6397" max="6397" width="9.140625" style="7" customWidth="1"/>
    <col min="6398" max="6398" width="8.42578125" style="7" customWidth="1"/>
    <col min="6399" max="6399" width="33.5703125" style="7" customWidth="1"/>
    <col min="6400" max="6400" width="11.140625" style="7" customWidth="1"/>
    <col min="6401" max="6650" width="11.42578125" style="7"/>
    <col min="6651" max="6651" width="5.42578125" style="7" customWidth="1"/>
    <col min="6652" max="6652" width="25.42578125" style="7" customWidth="1"/>
    <col min="6653" max="6653" width="9.140625" style="7" customWidth="1"/>
    <col min="6654" max="6654" width="8.42578125" style="7" customWidth="1"/>
    <col min="6655" max="6655" width="33.5703125" style="7" customWidth="1"/>
    <col min="6656" max="6656" width="11.140625" style="7" customWidth="1"/>
    <col min="6657" max="6906" width="11.42578125" style="7"/>
    <col min="6907" max="6907" width="5.42578125" style="7" customWidth="1"/>
    <col min="6908" max="6908" width="25.42578125" style="7" customWidth="1"/>
    <col min="6909" max="6909" width="9.140625" style="7" customWidth="1"/>
    <col min="6910" max="6910" width="8.42578125" style="7" customWidth="1"/>
    <col min="6911" max="6911" width="33.5703125" style="7" customWidth="1"/>
    <col min="6912" max="6912" width="11.140625" style="7" customWidth="1"/>
    <col min="6913" max="7162" width="11.42578125" style="7"/>
    <col min="7163" max="7163" width="5.42578125" style="7" customWidth="1"/>
    <col min="7164" max="7164" width="25.42578125" style="7" customWidth="1"/>
    <col min="7165" max="7165" width="9.140625" style="7" customWidth="1"/>
    <col min="7166" max="7166" width="8.42578125" style="7" customWidth="1"/>
    <col min="7167" max="7167" width="33.5703125" style="7" customWidth="1"/>
    <col min="7168" max="7168" width="11.140625" style="7" customWidth="1"/>
    <col min="7169" max="7418" width="11.42578125" style="7"/>
    <col min="7419" max="7419" width="5.42578125" style="7" customWidth="1"/>
    <col min="7420" max="7420" width="25.42578125" style="7" customWidth="1"/>
    <col min="7421" max="7421" width="9.140625" style="7" customWidth="1"/>
    <col min="7422" max="7422" width="8.42578125" style="7" customWidth="1"/>
    <col min="7423" max="7423" width="33.5703125" style="7" customWidth="1"/>
    <col min="7424" max="7424" width="11.140625" style="7" customWidth="1"/>
    <col min="7425" max="7674" width="11.42578125" style="7"/>
    <col min="7675" max="7675" width="5.42578125" style="7" customWidth="1"/>
    <col min="7676" max="7676" width="25.42578125" style="7" customWidth="1"/>
    <col min="7677" max="7677" width="9.140625" style="7" customWidth="1"/>
    <col min="7678" max="7678" width="8.42578125" style="7" customWidth="1"/>
    <col min="7679" max="7679" width="33.5703125" style="7" customWidth="1"/>
    <col min="7680" max="7680" width="11.140625" style="7" customWidth="1"/>
    <col min="7681" max="7930" width="11.42578125" style="7"/>
    <col min="7931" max="7931" width="5.42578125" style="7" customWidth="1"/>
    <col min="7932" max="7932" width="25.42578125" style="7" customWidth="1"/>
    <col min="7933" max="7933" width="9.140625" style="7" customWidth="1"/>
    <col min="7934" max="7934" width="8.42578125" style="7" customWidth="1"/>
    <col min="7935" max="7935" width="33.5703125" style="7" customWidth="1"/>
    <col min="7936" max="7936" width="11.140625" style="7" customWidth="1"/>
    <col min="7937" max="8186" width="11.42578125" style="7"/>
    <col min="8187" max="8187" width="5.42578125" style="7" customWidth="1"/>
    <col min="8188" max="8188" width="25.42578125" style="7" customWidth="1"/>
    <col min="8189" max="8189" width="9.140625" style="7" customWidth="1"/>
    <col min="8190" max="8190" width="8.42578125" style="7" customWidth="1"/>
    <col min="8191" max="8191" width="33.5703125" style="7" customWidth="1"/>
    <col min="8192" max="8192" width="11.140625" style="7" customWidth="1"/>
    <col min="8193" max="8442" width="11.42578125" style="7"/>
    <col min="8443" max="8443" width="5.42578125" style="7" customWidth="1"/>
    <col min="8444" max="8444" width="25.42578125" style="7" customWidth="1"/>
    <col min="8445" max="8445" width="9.140625" style="7" customWidth="1"/>
    <col min="8446" max="8446" width="8.42578125" style="7" customWidth="1"/>
    <col min="8447" max="8447" width="33.5703125" style="7" customWidth="1"/>
    <col min="8448" max="8448" width="11.140625" style="7" customWidth="1"/>
    <col min="8449" max="8698" width="11.42578125" style="7"/>
    <col min="8699" max="8699" width="5.42578125" style="7" customWidth="1"/>
    <col min="8700" max="8700" width="25.42578125" style="7" customWidth="1"/>
    <col min="8701" max="8701" width="9.140625" style="7" customWidth="1"/>
    <col min="8702" max="8702" width="8.42578125" style="7" customWidth="1"/>
    <col min="8703" max="8703" width="33.5703125" style="7" customWidth="1"/>
    <col min="8704" max="8704" width="11.140625" style="7" customWidth="1"/>
    <col min="8705" max="8954" width="11.42578125" style="7"/>
    <col min="8955" max="8955" width="5.42578125" style="7" customWidth="1"/>
    <col min="8956" max="8956" width="25.42578125" style="7" customWidth="1"/>
    <col min="8957" max="8957" width="9.140625" style="7" customWidth="1"/>
    <col min="8958" max="8958" width="8.42578125" style="7" customWidth="1"/>
    <col min="8959" max="8959" width="33.5703125" style="7" customWidth="1"/>
    <col min="8960" max="8960" width="11.140625" style="7" customWidth="1"/>
    <col min="8961" max="9210" width="11.42578125" style="7"/>
    <col min="9211" max="9211" width="5.42578125" style="7" customWidth="1"/>
    <col min="9212" max="9212" width="25.42578125" style="7" customWidth="1"/>
    <col min="9213" max="9213" width="9.140625" style="7" customWidth="1"/>
    <col min="9214" max="9214" width="8.42578125" style="7" customWidth="1"/>
    <col min="9215" max="9215" width="33.5703125" style="7" customWidth="1"/>
    <col min="9216" max="9216" width="11.140625" style="7" customWidth="1"/>
    <col min="9217" max="9466" width="11.42578125" style="7"/>
    <col min="9467" max="9467" width="5.42578125" style="7" customWidth="1"/>
    <col min="9468" max="9468" width="25.42578125" style="7" customWidth="1"/>
    <col min="9469" max="9469" width="9.140625" style="7" customWidth="1"/>
    <col min="9470" max="9470" width="8.42578125" style="7" customWidth="1"/>
    <col min="9471" max="9471" width="33.5703125" style="7" customWidth="1"/>
    <col min="9472" max="9472" width="11.140625" style="7" customWidth="1"/>
    <col min="9473" max="9722" width="11.42578125" style="7"/>
    <col min="9723" max="9723" width="5.42578125" style="7" customWidth="1"/>
    <col min="9724" max="9724" width="25.42578125" style="7" customWidth="1"/>
    <col min="9725" max="9725" width="9.140625" style="7" customWidth="1"/>
    <col min="9726" max="9726" width="8.42578125" style="7" customWidth="1"/>
    <col min="9727" max="9727" width="33.5703125" style="7" customWidth="1"/>
    <col min="9728" max="9728" width="11.140625" style="7" customWidth="1"/>
    <col min="9729" max="9978" width="11.42578125" style="7"/>
    <col min="9979" max="9979" width="5.42578125" style="7" customWidth="1"/>
    <col min="9980" max="9980" width="25.42578125" style="7" customWidth="1"/>
    <col min="9981" max="9981" width="9.140625" style="7" customWidth="1"/>
    <col min="9982" max="9982" width="8.42578125" style="7" customWidth="1"/>
    <col min="9983" max="9983" width="33.5703125" style="7" customWidth="1"/>
    <col min="9984" max="9984" width="11.140625" style="7" customWidth="1"/>
    <col min="9985" max="10234" width="11.42578125" style="7"/>
    <col min="10235" max="10235" width="5.42578125" style="7" customWidth="1"/>
    <col min="10236" max="10236" width="25.42578125" style="7" customWidth="1"/>
    <col min="10237" max="10237" width="9.140625" style="7" customWidth="1"/>
    <col min="10238" max="10238" width="8.42578125" style="7" customWidth="1"/>
    <col min="10239" max="10239" width="33.5703125" style="7" customWidth="1"/>
    <col min="10240" max="10240" width="11.140625" style="7" customWidth="1"/>
    <col min="10241" max="10490" width="11.42578125" style="7"/>
    <col min="10491" max="10491" width="5.42578125" style="7" customWidth="1"/>
    <col min="10492" max="10492" width="25.42578125" style="7" customWidth="1"/>
    <col min="10493" max="10493" width="9.140625" style="7" customWidth="1"/>
    <col min="10494" max="10494" width="8.42578125" style="7" customWidth="1"/>
    <col min="10495" max="10495" width="33.5703125" style="7" customWidth="1"/>
    <col min="10496" max="10496" width="11.140625" style="7" customWidth="1"/>
    <col min="10497" max="10746" width="11.42578125" style="7"/>
    <col min="10747" max="10747" width="5.42578125" style="7" customWidth="1"/>
    <col min="10748" max="10748" width="25.42578125" style="7" customWidth="1"/>
    <col min="10749" max="10749" width="9.140625" style="7" customWidth="1"/>
    <col min="10750" max="10750" width="8.42578125" style="7" customWidth="1"/>
    <col min="10751" max="10751" width="33.5703125" style="7" customWidth="1"/>
    <col min="10752" max="10752" width="11.140625" style="7" customWidth="1"/>
    <col min="10753" max="11002" width="11.42578125" style="7"/>
    <col min="11003" max="11003" width="5.42578125" style="7" customWidth="1"/>
    <col min="11004" max="11004" width="25.42578125" style="7" customWidth="1"/>
    <col min="11005" max="11005" width="9.140625" style="7" customWidth="1"/>
    <col min="11006" max="11006" width="8.42578125" style="7" customWidth="1"/>
    <col min="11007" max="11007" width="33.5703125" style="7" customWidth="1"/>
    <col min="11008" max="11008" width="11.140625" style="7" customWidth="1"/>
    <col min="11009" max="11258" width="11.42578125" style="7"/>
    <col min="11259" max="11259" width="5.42578125" style="7" customWidth="1"/>
    <col min="11260" max="11260" width="25.42578125" style="7" customWidth="1"/>
    <col min="11261" max="11261" width="9.140625" style="7" customWidth="1"/>
    <col min="11262" max="11262" width="8.42578125" style="7" customWidth="1"/>
    <col min="11263" max="11263" width="33.5703125" style="7" customWidth="1"/>
    <col min="11264" max="11264" width="11.140625" style="7" customWidth="1"/>
    <col min="11265" max="11514" width="11.42578125" style="7"/>
    <col min="11515" max="11515" width="5.42578125" style="7" customWidth="1"/>
    <col min="11516" max="11516" width="25.42578125" style="7" customWidth="1"/>
    <col min="11517" max="11517" width="9.140625" style="7" customWidth="1"/>
    <col min="11518" max="11518" width="8.42578125" style="7" customWidth="1"/>
    <col min="11519" max="11519" width="33.5703125" style="7" customWidth="1"/>
    <col min="11520" max="11520" width="11.140625" style="7" customWidth="1"/>
    <col min="11521" max="11770" width="11.42578125" style="7"/>
    <col min="11771" max="11771" width="5.42578125" style="7" customWidth="1"/>
    <col min="11772" max="11772" width="25.42578125" style="7" customWidth="1"/>
    <col min="11773" max="11773" width="9.140625" style="7" customWidth="1"/>
    <col min="11774" max="11774" width="8.42578125" style="7" customWidth="1"/>
    <col min="11775" max="11775" width="33.5703125" style="7" customWidth="1"/>
    <col min="11776" max="11776" width="11.140625" style="7" customWidth="1"/>
    <col min="11777" max="12026" width="11.42578125" style="7"/>
    <col min="12027" max="12027" width="5.42578125" style="7" customWidth="1"/>
    <col min="12028" max="12028" width="25.42578125" style="7" customWidth="1"/>
    <col min="12029" max="12029" width="9.140625" style="7" customWidth="1"/>
    <col min="12030" max="12030" width="8.42578125" style="7" customWidth="1"/>
    <col min="12031" max="12031" width="33.5703125" style="7" customWidth="1"/>
    <col min="12032" max="12032" width="11.140625" style="7" customWidth="1"/>
    <col min="12033" max="12282" width="11.42578125" style="7"/>
    <col min="12283" max="12283" width="5.42578125" style="7" customWidth="1"/>
    <col min="12284" max="12284" width="25.42578125" style="7" customWidth="1"/>
    <col min="12285" max="12285" width="9.140625" style="7" customWidth="1"/>
    <col min="12286" max="12286" width="8.42578125" style="7" customWidth="1"/>
    <col min="12287" max="12287" width="33.5703125" style="7" customWidth="1"/>
    <col min="12288" max="12288" width="11.140625" style="7" customWidth="1"/>
    <col min="12289" max="12538" width="11.42578125" style="7"/>
    <col min="12539" max="12539" width="5.42578125" style="7" customWidth="1"/>
    <col min="12540" max="12540" width="25.42578125" style="7" customWidth="1"/>
    <col min="12541" max="12541" width="9.140625" style="7" customWidth="1"/>
    <col min="12542" max="12542" width="8.42578125" style="7" customWidth="1"/>
    <col min="12543" max="12543" width="33.5703125" style="7" customWidth="1"/>
    <col min="12544" max="12544" width="11.140625" style="7" customWidth="1"/>
    <col min="12545" max="12794" width="11.42578125" style="7"/>
    <col min="12795" max="12795" width="5.42578125" style="7" customWidth="1"/>
    <col min="12796" max="12796" width="25.42578125" style="7" customWidth="1"/>
    <col min="12797" max="12797" width="9.140625" style="7" customWidth="1"/>
    <col min="12798" max="12798" width="8.42578125" style="7" customWidth="1"/>
    <col min="12799" max="12799" width="33.5703125" style="7" customWidth="1"/>
    <col min="12800" max="12800" width="11.140625" style="7" customWidth="1"/>
    <col min="12801" max="13050" width="11.42578125" style="7"/>
    <col min="13051" max="13051" width="5.42578125" style="7" customWidth="1"/>
    <col min="13052" max="13052" width="25.42578125" style="7" customWidth="1"/>
    <col min="13053" max="13053" width="9.140625" style="7" customWidth="1"/>
    <col min="13054" max="13054" width="8.42578125" style="7" customWidth="1"/>
    <col min="13055" max="13055" width="33.5703125" style="7" customWidth="1"/>
    <col min="13056" max="13056" width="11.140625" style="7" customWidth="1"/>
    <col min="13057" max="13306" width="11.42578125" style="7"/>
    <col min="13307" max="13307" width="5.42578125" style="7" customWidth="1"/>
    <col min="13308" max="13308" width="25.42578125" style="7" customWidth="1"/>
    <col min="13309" max="13309" width="9.140625" style="7" customWidth="1"/>
    <col min="13310" max="13310" width="8.42578125" style="7" customWidth="1"/>
    <col min="13311" max="13311" width="33.5703125" style="7" customWidth="1"/>
    <col min="13312" max="13312" width="11.140625" style="7" customWidth="1"/>
    <col min="13313" max="13562" width="11.42578125" style="7"/>
    <col min="13563" max="13563" width="5.42578125" style="7" customWidth="1"/>
    <col min="13564" max="13564" width="25.42578125" style="7" customWidth="1"/>
    <col min="13565" max="13565" width="9.140625" style="7" customWidth="1"/>
    <col min="13566" max="13566" width="8.42578125" style="7" customWidth="1"/>
    <col min="13567" max="13567" width="33.5703125" style="7" customWidth="1"/>
    <col min="13568" max="13568" width="11.140625" style="7" customWidth="1"/>
    <col min="13569" max="13818" width="11.42578125" style="7"/>
    <col min="13819" max="13819" width="5.42578125" style="7" customWidth="1"/>
    <col min="13820" max="13820" width="25.42578125" style="7" customWidth="1"/>
    <col min="13821" max="13821" width="9.140625" style="7" customWidth="1"/>
    <col min="13822" max="13822" width="8.42578125" style="7" customWidth="1"/>
    <col min="13823" max="13823" width="33.5703125" style="7" customWidth="1"/>
    <col min="13824" max="13824" width="11.140625" style="7" customWidth="1"/>
    <col min="13825" max="14074" width="11.42578125" style="7"/>
    <col min="14075" max="14075" width="5.42578125" style="7" customWidth="1"/>
    <col min="14076" max="14076" width="25.42578125" style="7" customWidth="1"/>
    <col min="14077" max="14077" width="9.140625" style="7" customWidth="1"/>
    <col min="14078" max="14078" width="8.42578125" style="7" customWidth="1"/>
    <col min="14079" max="14079" width="33.5703125" style="7" customWidth="1"/>
    <col min="14080" max="14080" width="11.140625" style="7" customWidth="1"/>
    <col min="14081" max="14330" width="11.42578125" style="7"/>
    <col min="14331" max="14331" width="5.42578125" style="7" customWidth="1"/>
    <col min="14332" max="14332" width="25.42578125" style="7" customWidth="1"/>
    <col min="14333" max="14333" width="9.140625" style="7" customWidth="1"/>
    <col min="14334" max="14334" width="8.42578125" style="7" customWidth="1"/>
    <col min="14335" max="14335" width="33.5703125" style="7" customWidth="1"/>
    <col min="14336" max="14336" width="11.140625" style="7" customWidth="1"/>
    <col min="14337" max="14586" width="11.42578125" style="7"/>
    <col min="14587" max="14587" width="5.42578125" style="7" customWidth="1"/>
    <col min="14588" max="14588" width="25.42578125" style="7" customWidth="1"/>
    <col min="14589" max="14589" width="9.140625" style="7" customWidth="1"/>
    <col min="14590" max="14590" width="8.42578125" style="7" customWidth="1"/>
    <col min="14591" max="14591" width="33.5703125" style="7" customWidth="1"/>
    <col min="14592" max="14592" width="11.140625" style="7" customWidth="1"/>
    <col min="14593" max="14842" width="11.42578125" style="7"/>
    <col min="14843" max="14843" width="5.42578125" style="7" customWidth="1"/>
    <col min="14844" max="14844" width="25.42578125" style="7" customWidth="1"/>
    <col min="14845" max="14845" width="9.140625" style="7" customWidth="1"/>
    <col min="14846" max="14846" width="8.42578125" style="7" customWidth="1"/>
    <col min="14847" max="14847" width="33.5703125" style="7" customWidth="1"/>
    <col min="14848" max="14848" width="11.140625" style="7" customWidth="1"/>
    <col min="14849" max="15098" width="11.42578125" style="7"/>
    <col min="15099" max="15099" width="5.42578125" style="7" customWidth="1"/>
    <col min="15100" max="15100" width="25.42578125" style="7" customWidth="1"/>
    <col min="15101" max="15101" width="9.140625" style="7" customWidth="1"/>
    <col min="15102" max="15102" width="8.42578125" style="7" customWidth="1"/>
    <col min="15103" max="15103" width="33.5703125" style="7" customWidth="1"/>
    <col min="15104" max="15104" width="11.140625" style="7" customWidth="1"/>
    <col min="15105" max="15354" width="11.42578125" style="7"/>
    <col min="15355" max="15355" width="5.42578125" style="7" customWidth="1"/>
    <col min="15356" max="15356" width="25.42578125" style="7" customWidth="1"/>
    <col min="15357" max="15357" width="9.140625" style="7" customWidth="1"/>
    <col min="15358" max="15358" width="8.42578125" style="7" customWidth="1"/>
    <col min="15359" max="15359" width="33.5703125" style="7" customWidth="1"/>
    <col min="15360" max="15360" width="11.140625" style="7" customWidth="1"/>
    <col min="15361" max="15610" width="11.42578125" style="7"/>
    <col min="15611" max="15611" width="5.42578125" style="7" customWidth="1"/>
    <col min="15612" max="15612" width="25.42578125" style="7" customWidth="1"/>
    <col min="15613" max="15613" width="9.140625" style="7" customWidth="1"/>
    <col min="15614" max="15614" width="8.42578125" style="7" customWidth="1"/>
    <col min="15615" max="15615" width="33.5703125" style="7" customWidth="1"/>
    <col min="15616" max="15616" width="11.140625" style="7" customWidth="1"/>
    <col min="15617" max="15866" width="11.42578125" style="7"/>
    <col min="15867" max="15867" width="5.42578125" style="7" customWidth="1"/>
    <col min="15868" max="15868" width="25.42578125" style="7" customWidth="1"/>
    <col min="15869" max="15869" width="9.140625" style="7" customWidth="1"/>
    <col min="15870" max="15870" width="8.42578125" style="7" customWidth="1"/>
    <col min="15871" max="15871" width="33.5703125" style="7" customWidth="1"/>
    <col min="15872" max="15872" width="11.140625" style="7" customWidth="1"/>
    <col min="15873" max="16122" width="11.42578125" style="7"/>
    <col min="16123" max="16123" width="5.42578125" style="7" customWidth="1"/>
    <col min="16124" max="16124" width="25.42578125" style="7" customWidth="1"/>
    <col min="16125" max="16125" width="9.140625" style="7" customWidth="1"/>
    <col min="16126" max="16126" width="8.42578125" style="7" customWidth="1"/>
    <col min="16127" max="16127" width="33.5703125" style="7" customWidth="1"/>
    <col min="16128" max="16128" width="11.140625" style="7" customWidth="1"/>
    <col min="16129" max="16384" width="11.42578125" style="7"/>
  </cols>
  <sheetData>
    <row r="1" spans="1:6" ht="15" customHeight="1">
      <c r="F1" s="64" t="s">
        <v>48</v>
      </c>
    </row>
    <row r="2" spans="1:6" ht="15" customHeight="1">
      <c r="F2" s="6" t="s">
        <v>42</v>
      </c>
    </row>
    <row r="3" spans="1:6" ht="15" customHeight="1"/>
    <row r="4" spans="1:6" s="15" customFormat="1" ht="15" customHeight="1"/>
    <row r="5" spans="1:6" ht="17.25" customHeight="1">
      <c r="A5" s="53" t="s">
        <v>292</v>
      </c>
      <c r="B5" s="53"/>
      <c r="C5" s="53"/>
      <c r="D5" s="53"/>
      <c r="E5" s="54"/>
      <c r="F5" s="54"/>
    </row>
    <row r="6" spans="1:6" ht="4.5" customHeight="1">
      <c r="A6" s="4"/>
      <c r="B6" s="4"/>
      <c r="C6" s="4"/>
      <c r="D6" s="4"/>
      <c r="E6" s="4"/>
      <c r="F6" s="4"/>
    </row>
    <row r="7" spans="1:6" ht="15" customHeight="1">
      <c r="A7" s="225" t="s">
        <v>293</v>
      </c>
      <c r="B7" s="225"/>
      <c r="C7" s="19" t="s">
        <v>91</v>
      </c>
      <c r="D7" s="19" t="s">
        <v>47</v>
      </c>
      <c r="E7" s="19" t="s">
        <v>92</v>
      </c>
      <c r="F7" s="19" t="s">
        <v>260</v>
      </c>
    </row>
    <row r="8" spans="1:6" ht="30" customHeight="1">
      <c r="A8" s="59" t="s">
        <v>99</v>
      </c>
      <c r="B8" s="227"/>
      <c r="C8" s="227"/>
      <c r="D8" s="93" t="e">
        <f>cobertura!#REF!</f>
        <v>#REF!</v>
      </c>
      <c r="E8" s="93" t="e">
        <f>cobertura!#REF!</f>
        <v>#REF!</v>
      </c>
      <c r="F8" s="93" t="e">
        <f>cobertura!#REF!</f>
        <v>#REF!</v>
      </c>
    </row>
    <row r="9" spans="1:6" ht="30" customHeight="1">
      <c r="A9" s="62" t="s">
        <v>100</v>
      </c>
      <c r="B9" s="228"/>
      <c r="C9" s="228"/>
      <c r="D9" s="95" t="e">
        <f>demanda!#REF!</f>
        <v>#REF!</v>
      </c>
      <c r="E9" s="95" t="e">
        <f>demanda!#REF!</f>
        <v>#REF!</v>
      </c>
      <c r="F9" s="95" t="e">
        <f>demanda!#REF!</f>
        <v>#REF!</v>
      </c>
    </row>
    <row r="10" spans="1:6" ht="30" customHeight="1">
      <c r="A10" s="203" t="s">
        <v>96</v>
      </c>
      <c r="B10" s="229"/>
      <c r="C10" s="229"/>
      <c r="D10" s="204" t="e">
        <f>absorcion!#REF!</f>
        <v>#REF!</v>
      </c>
      <c r="E10" s="204" t="e">
        <f>absorcion!#REF!</f>
        <v>#REF!</v>
      </c>
      <c r="F10" s="204" t="e">
        <f>absorcion!#REF!</f>
        <v>#REF!</v>
      </c>
    </row>
    <row r="11" spans="1:6" ht="30" customHeight="1">
      <c r="A11" s="61" t="s">
        <v>150</v>
      </c>
      <c r="B11" s="229"/>
      <c r="C11" s="98" t="e">
        <f>abandono!#REF!</f>
        <v>#REF!</v>
      </c>
      <c r="D11" s="98" t="e">
        <f>abandono!#REF!</f>
        <v>#REF!</v>
      </c>
      <c r="E11" s="98" t="e">
        <f>abandono!#REF!</f>
        <v>#REF!</v>
      </c>
      <c r="F11" s="204" t="s">
        <v>2</v>
      </c>
    </row>
    <row r="12" spans="1:6" ht="30" customHeight="1">
      <c r="A12" s="58" t="s">
        <v>97</v>
      </c>
      <c r="B12" s="230"/>
      <c r="C12" s="230"/>
      <c r="D12" s="105" t="e">
        <f>capacidad!#REF!</f>
        <v>#REF!</v>
      </c>
      <c r="E12" s="105" t="e">
        <f>capacidad!#REF!</f>
        <v>#REF!</v>
      </c>
      <c r="F12" s="105" t="e">
        <f>capacidad!#REF!</f>
        <v>#REF!</v>
      </c>
    </row>
    <row r="13" spans="1:6" ht="30" customHeight="1">
      <c r="A13" s="60" t="s">
        <v>98</v>
      </c>
      <c r="B13" s="231"/>
      <c r="C13" s="231"/>
      <c r="D13" s="166" t="e">
        <f>matricula!#REF!</f>
        <v>#REF!</v>
      </c>
      <c r="E13" s="166" t="e">
        <f>matricula!#REF!</f>
        <v>#REF!</v>
      </c>
      <c r="F13" s="166" t="e">
        <f>matricula!#REF!</f>
        <v>#REF!</v>
      </c>
    </row>
    <row r="14" spans="1:6" ht="30" customHeight="1">
      <c r="A14" s="20" t="s">
        <v>268</v>
      </c>
      <c r="B14" s="229"/>
      <c r="C14" s="229"/>
      <c r="D14" s="105" t="e">
        <f>alupc!#REF!</f>
        <v>#REF!</v>
      </c>
      <c r="E14" s="105" t="e">
        <f>alupc!#REF!</f>
        <v>#REF!</v>
      </c>
      <c r="F14" s="105" t="e">
        <f>alupc!#REF!</f>
        <v>#REF!</v>
      </c>
    </row>
    <row r="15" spans="1:6" ht="30" customHeight="1">
      <c r="A15" s="60" t="s">
        <v>269</v>
      </c>
      <c r="B15" s="231"/>
      <c r="C15" s="231"/>
      <c r="D15" s="98">
        <f>admpc!$B$13</f>
        <v>0</v>
      </c>
      <c r="E15" s="98">
        <f>admpc!$B$14</f>
        <v>0</v>
      </c>
      <c r="F15" s="98">
        <f>admpc!$B$15</f>
        <v>0</v>
      </c>
    </row>
    <row r="16" spans="1:6" ht="30" customHeight="1">
      <c r="A16" s="60" t="s">
        <v>152</v>
      </c>
      <c r="B16" s="231"/>
      <c r="C16" s="231"/>
      <c r="D16" s="166" t="e">
        <f>costo!#REF!</f>
        <v>#REF!</v>
      </c>
      <c r="E16" s="166" t="e">
        <f>costo!#REF!</f>
        <v>#REF!</v>
      </c>
      <c r="F16" s="166" t="e">
        <f>costo!#REF!</f>
        <v>#REF!</v>
      </c>
    </row>
    <row r="17" spans="1:6" ht="30.75" customHeight="1">
      <c r="A17" s="20" t="s">
        <v>272</v>
      </c>
      <c r="B17" s="229"/>
      <c r="C17" s="229"/>
      <c r="D17" s="105">
        <f>PCSINEMS!$B$13</f>
        <v>0</v>
      </c>
      <c r="E17" s="105">
        <f>PCSINEMS!$B$14</f>
        <v>0</v>
      </c>
      <c r="F17" s="105">
        <f>PCSINEMS!$B$15</f>
        <v>0</v>
      </c>
    </row>
    <row r="18" spans="1:6" ht="17.25" customHeight="1">
      <c r="A18" s="225" t="s">
        <v>304</v>
      </c>
      <c r="B18" s="225"/>
      <c r="C18" s="225"/>
      <c r="D18" s="19" t="s">
        <v>296</v>
      </c>
      <c r="E18" s="19" t="s">
        <v>295</v>
      </c>
      <c r="F18" s="19" t="s">
        <v>294</v>
      </c>
    </row>
    <row r="19" spans="1:6" ht="30" customHeight="1">
      <c r="A19" s="20" t="s">
        <v>151</v>
      </c>
      <c r="B19" s="229"/>
      <c r="C19" s="229"/>
      <c r="D19" s="105" t="e">
        <f>reprobacion!#REF!</f>
        <v>#REF!</v>
      </c>
      <c r="E19" s="105" t="e">
        <f>reprobacion!#REF!</f>
        <v>#REF!</v>
      </c>
      <c r="F19" s="105">
        <f>reprobacion!$B$12</f>
        <v>16.964893445326261</v>
      </c>
    </row>
    <row r="20" spans="1:6" s="16" customFormat="1" ht="30" customHeight="1">
      <c r="A20" s="20" t="s">
        <v>35</v>
      </c>
      <c r="B20" s="229"/>
      <c r="C20" s="229"/>
      <c r="D20" s="105" t="e">
        <f>adocente!#REF!</f>
        <v>#REF!</v>
      </c>
      <c r="E20" s="105" t="e">
        <f>adocente!#REF!</f>
        <v>#REF!</v>
      </c>
      <c r="F20" s="105" t="e">
        <f>adocente!#REF!</f>
        <v>#REF!</v>
      </c>
    </row>
    <row r="21" spans="1:6" ht="30" customHeight="1">
      <c r="A21" s="60" t="s">
        <v>261</v>
      </c>
      <c r="B21" s="231"/>
      <c r="C21" s="231"/>
      <c r="D21" s="98">
        <f>becas!$B$13</f>
        <v>0</v>
      </c>
      <c r="E21" s="98">
        <f>becas!$B$14</f>
        <v>0</v>
      </c>
      <c r="F21" s="98">
        <f>becas!$B$15</f>
        <v>0</v>
      </c>
    </row>
    <row r="22" spans="1:6" ht="30" customHeight="1">
      <c r="A22" s="60" t="s">
        <v>153</v>
      </c>
      <c r="B22" s="231"/>
      <c r="C22" s="231"/>
      <c r="D22" s="98" t="e">
        <f>bexterno!#REF!</f>
        <v>#REF!</v>
      </c>
      <c r="E22" s="98" t="e">
        <f>bexterno!#REF!</f>
        <v>#REF!</v>
      </c>
      <c r="F22" s="98" t="e">
        <f>bexterno!#REF!</f>
        <v>#REF!</v>
      </c>
    </row>
    <row r="23" spans="1:6" ht="30" customHeight="1">
      <c r="A23" s="225" t="s">
        <v>302</v>
      </c>
      <c r="B23" s="19" t="s">
        <v>303</v>
      </c>
      <c r="C23" s="19" t="s">
        <v>301</v>
      </c>
      <c r="D23" s="19" t="s">
        <v>299</v>
      </c>
      <c r="E23" s="19" t="s">
        <v>300</v>
      </c>
      <c r="F23" s="19" t="s">
        <v>298</v>
      </c>
    </row>
    <row r="24" spans="1:6" ht="30" customHeight="1">
      <c r="A24" s="163" t="s">
        <v>235</v>
      </c>
      <c r="B24" s="227"/>
      <c r="C24" s="232"/>
      <c r="D24" s="98" t="e">
        <f>eficienciat!#REF!</f>
        <v>#REF!</v>
      </c>
      <c r="E24" s="98" t="e">
        <f>eficienciat!#REF!</f>
        <v>#REF!</v>
      </c>
      <c r="F24" s="98" t="e">
        <f>eficienciat!#REF!</f>
        <v>#REF!</v>
      </c>
    </row>
    <row r="25" spans="1:6" ht="30" customHeight="1">
      <c r="A25" s="20" t="s">
        <v>230</v>
      </c>
      <c r="B25" s="229"/>
      <c r="C25" s="105" t="e">
        <f>titulacion!#REF!</f>
        <v>#REF!</v>
      </c>
      <c r="D25" s="105" t="e">
        <f>titulacion!#REF!</f>
        <v>#REF!</v>
      </c>
      <c r="E25" s="105" t="e">
        <f>titulacion!#REF!</f>
        <v>#REF!</v>
      </c>
      <c r="F25" s="226" t="s">
        <v>2</v>
      </c>
    </row>
    <row r="26" spans="1:6" ht="30" customHeight="1">
      <c r="A26" s="61" t="s">
        <v>229</v>
      </c>
      <c r="B26" s="98">
        <f>tasaegreso!$B$13</f>
        <v>0</v>
      </c>
      <c r="C26" s="98">
        <f>tasaegreso!$B$14</f>
        <v>0</v>
      </c>
      <c r="D26" s="98">
        <f>tasaegreso!$B$16</f>
        <v>0</v>
      </c>
      <c r="E26" s="226" t="s">
        <v>2</v>
      </c>
      <c r="F26" s="226" t="s">
        <v>2</v>
      </c>
    </row>
    <row r="27" spans="1:6" ht="30" customHeight="1">
      <c r="A27" s="225" t="s">
        <v>297</v>
      </c>
      <c r="B27" s="225"/>
      <c r="C27" s="225"/>
      <c r="D27" s="19">
        <v>2017</v>
      </c>
      <c r="E27" s="19">
        <v>2018</v>
      </c>
      <c r="F27" s="19">
        <v>2019</v>
      </c>
    </row>
    <row r="28" spans="1:6" ht="30" customHeight="1">
      <c r="A28" s="20" t="s">
        <v>36</v>
      </c>
      <c r="B28" s="229"/>
      <c r="C28" s="229"/>
      <c r="D28" s="91" t="e">
        <f>capacitacion!#REF!</f>
        <v>#REF!</v>
      </c>
      <c r="E28" s="91" t="e">
        <f>capacitacion!#REF!</f>
        <v>#REF!</v>
      </c>
      <c r="F28" s="91" t="e">
        <f>capacitacion!#REF!</f>
        <v>#REF!</v>
      </c>
    </row>
    <row r="29" spans="1:6" ht="30" customHeight="1">
      <c r="A29" s="61" t="s">
        <v>38</v>
      </c>
      <c r="B29" s="229"/>
      <c r="C29" s="229"/>
      <c r="D29" s="166" t="e">
        <f>servtec!#REF!</f>
        <v>#REF!</v>
      </c>
      <c r="E29" s="166" t="e">
        <f>servtec!#REF!</f>
        <v>#REF!</v>
      </c>
      <c r="F29" s="166" t="e">
        <f>servtec!#REF!</f>
        <v>#REF!</v>
      </c>
    </row>
    <row r="30" spans="1:6" ht="30" customHeight="1">
      <c r="A30" s="20" t="s">
        <v>44</v>
      </c>
      <c r="B30" s="229"/>
      <c r="C30" s="229"/>
      <c r="D30" s="91">
        <f>certificacion!$B$13</f>
        <v>78858</v>
      </c>
      <c r="E30" s="91" t="e">
        <f>certificacion!#REF!</f>
        <v>#REF!</v>
      </c>
      <c r="F30" s="91" t="e">
        <f>certificacion!#REF!</f>
        <v>#REF!</v>
      </c>
    </row>
    <row r="31" spans="1:6" ht="35.1" customHeight="1">
      <c r="A31" s="27" t="s">
        <v>277</v>
      </c>
      <c r="B31" s="233"/>
      <c r="C31" s="233"/>
      <c r="D31" s="104" t="e">
        <f>#REF!</f>
        <v>#REF!</v>
      </c>
      <c r="E31" s="104" t="e">
        <f>#REF!</f>
        <v>#REF!</v>
      </c>
      <c r="F31" s="104" t="e">
        <f>#REF!</f>
        <v>#REF!</v>
      </c>
    </row>
    <row r="32" spans="1:6" ht="35.1" customHeight="1">
      <c r="A32" s="206" t="s">
        <v>143</v>
      </c>
      <c r="B32" s="234"/>
      <c r="C32" s="234"/>
      <c r="D32" s="97" t="e">
        <f>#REF!</f>
        <v>#REF!</v>
      </c>
      <c r="E32" s="97" t="e">
        <f>#REF!</f>
        <v>#REF!</v>
      </c>
      <c r="F32" s="97" t="e">
        <f>#REF!</f>
        <v>#REF!</v>
      </c>
    </row>
    <row r="33" spans="1:6" ht="39" customHeight="1">
      <c r="A33" s="27" t="s">
        <v>144</v>
      </c>
      <c r="B33" s="233"/>
      <c r="C33" s="233"/>
      <c r="D33" s="104" t="e">
        <f>#REF!</f>
        <v>#REF!</v>
      </c>
      <c r="E33" s="104" t="e">
        <f>#REF!</f>
        <v>#REF!</v>
      </c>
      <c r="F33" s="104" t="e">
        <f>#REF!</f>
        <v>#REF!</v>
      </c>
    </row>
    <row r="34" spans="1:6" ht="41.25" customHeight="1">
      <c r="A34" s="206" t="s">
        <v>145</v>
      </c>
      <c r="B34" s="234"/>
      <c r="C34" s="234"/>
      <c r="D34" s="97" t="e">
        <f>#REF!</f>
        <v>#REF!</v>
      </c>
      <c r="E34" s="97" t="e">
        <f>#REF!</f>
        <v>#REF!</v>
      </c>
      <c r="F34" s="97" t="e">
        <f>#REF!</f>
        <v>#REF!</v>
      </c>
    </row>
    <row r="35" spans="1:6" ht="40.5" customHeight="1">
      <c r="A35" s="27" t="s">
        <v>146</v>
      </c>
      <c r="B35" s="233"/>
      <c r="C35" s="233"/>
      <c r="D35" s="104" t="e">
        <f>#REF!</f>
        <v>#REF!</v>
      </c>
      <c r="E35" s="104" t="e">
        <f>#REF!</f>
        <v>#REF!</v>
      </c>
      <c r="F35" s="104" t="e">
        <f>#REF!</f>
        <v>#REF!</v>
      </c>
    </row>
    <row r="36" spans="1:6" ht="35.1" customHeight="1">
      <c r="A36" s="206" t="s">
        <v>147</v>
      </c>
      <c r="B36" s="234"/>
      <c r="C36" s="234"/>
      <c r="D36" s="97" t="e">
        <f>#REF!</f>
        <v>#REF!</v>
      </c>
      <c r="E36" s="97" t="e">
        <f>#REF!</f>
        <v>#REF!</v>
      </c>
      <c r="F36" s="97" t="e">
        <f>#REF!</f>
        <v>#REF!</v>
      </c>
    </row>
    <row r="37" spans="1:6" ht="35.1" customHeight="1">
      <c r="A37" s="27" t="s">
        <v>148</v>
      </c>
      <c r="B37" s="233"/>
      <c r="C37" s="233"/>
      <c r="D37" s="104" t="e">
        <f>#REF!</f>
        <v>#REF!</v>
      </c>
      <c r="E37" s="104" t="e">
        <f>#REF!</f>
        <v>#REF!</v>
      </c>
      <c r="F37" s="104" t="e">
        <f>#REF!</f>
        <v>#REF!</v>
      </c>
    </row>
    <row r="38" spans="1:6" ht="45" customHeight="1">
      <c r="A38" s="206" t="s">
        <v>149</v>
      </c>
      <c r="B38" s="234"/>
      <c r="C38" s="234"/>
      <c r="D38" s="97" t="e">
        <f>#REF!</f>
        <v>#REF!</v>
      </c>
      <c r="E38" s="97" t="e">
        <f>#REF!</f>
        <v>#REF!</v>
      </c>
      <c r="F38" s="97" t="e">
        <f>#REF!</f>
        <v>#REF!</v>
      </c>
    </row>
    <row r="39" spans="1:6" ht="18">
      <c r="A39" s="18"/>
      <c r="B39" s="18"/>
      <c r="C39" s="18"/>
      <c r="D39" s="17"/>
      <c r="E39" s="17"/>
      <c r="F39" s="17"/>
    </row>
  </sheetData>
  <printOptions horizontalCentered="1"/>
  <pageMargins left="0.31496062992125984" right="0.31496062992125984" top="0.55118110236220474" bottom="0.55118110236220474" header="0.31496062992125984" footer="0.31496062992125984"/>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6"/>
  <sheetViews>
    <sheetView showGridLines="0" view="pageBreakPreview" topLeftCell="A40" zoomScale="115" zoomScaleNormal="120" zoomScaleSheetLayoutView="115" workbookViewId="0">
      <selection activeCell="L39" sqref="L39"/>
    </sheetView>
  </sheetViews>
  <sheetFormatPr baseColWidth="10" defaultColWidth="11.42578125" defaultRowHeight="13.5"/>
  <cols>
    <col min="1" max="1" width="23.5703125" style="48" customWidth="1"/>
    <col min="2" max="5" width="9.5703125" style="48" customWidth="1"/>
    <col min="6" max="6" width="9.28515625" style="48" customWidth="1"/>
    <col min="7" max="8" width="9.5703125" style="48" customWidth="1"/>
    <col min="9" max="16384" width="11.42578125" style="48"/>
  </cols>
  <sheetData>
    <row r="1" spans="1:8" s="3" customFormat="1" ht="15" customHeight="1">
      <c r="B1" s="1"/>
      <c r="C1" s="1"/>
      <c r="D1" s="1"/>
      <c r="E1" s="1"/>
      <c r="G1" s="291"/>
      <c r="H1" s="64" t="s">
        <v>48</v>
      </c>
    </row>
    <row r="2" spans="1:8" s="3" customFormat="1" ht="15" customHeight="1">
      <c r="B2" s="1"/>
      <c r="C2" s="1"/>
      <c r="D2" s="1"/>
      <c r="E2" s="1"/>
      <c r="G2" s="291"/>
      <c r="H2" s="6" t="s">
        <v>42</v>
      </c>
    </row>
    <row r="3" spans="1:8" s="3" customFormat="1" ht="15" customHeight="1">
      <c r="B3" s="1"/>
      <c r="C3" s="1"/>
      <c r="D3" s="1"/>
      <c r="E3" s="1"/>
      <c r="F3" s="1"/>
      <c r="G3" s="1"/>
    </row>
    <row r="4" spans="1:8" s="3" customFormat="1" ht="3.75" customHeight="1">
      <c r="B4" s="1"/>
      <c r="C4" s="1"/>
      <c r="D4" s="1"/>
      <c r="E4" s="1"/>
      <c r="F4" s="1"/>
      <c r="G4" s="1"/>
    </row>
    <row r="5" spans="1:8" s="3" customFormat="1" ht="15" customHeight="1">
      <c r="A5" s="367" t="s">
        <v>154</v>
      </c>
      <c r="B5" s="367"/>
      <c r="C5" s="367"/>
      <c r="D5" s="367"/>
      <c r="E5" s="367"/>
      <c r="F5" s="367"/>
      <c r="G5" s="367"/>
      <c r="H5" s="367"/>
    </row>
    <row r="6" spans="1:8" s="3" customFormat="1" ht="6.75" customHeight="1">
      <c r="A6" s="5"/>
      <c r="B6" s="63"/>
      <c r="C6" s="65"/>
      <c r="D6" s="65"/>
      <c r="E6" s="66"/>
      <c r="F6" s="66"/>
      <c r="G6" s="66"/>
    </row>
    <row r="7" spans="1:8" s="68" customFormat="1" ht="15" customHeight="1">
      <c r="A7" s="76" t="s">
        <v>45</v>
      </c>
      <c r="B7" s="76" t="s">
        <v>0</v>
      </c>
      <c r="C7" s="67"/>
      <c r="D7" s="67"/>
      <c r="E7" s="63"/>
      <c r="F7" s="63"/>
      <c r="G7" s="63"/>
    </row>
    <row r="8" spans="1:8" s="68" customFormat="1" ht="14.1" customHeight="1">
      <c r="A8" s="77">
        <v>2018</v>
      </c>
      <c r="B8" s="78">
        <f>$B$54</f>
        <v>3.8587193062876439</v>
      </c>
      <c r="C8" s="69"/>
      <c r="D8" s="67"/>
      <c r="E8" s="63"/>
      <c r="F8" s="63"/>
      <c r="G8" s="63"/>
    </row>
    <row r="9" spans="1:8" s="68" customFormat="1" ht="14.1" customHeight="1">
      <c r="A9" s="77">
        <v>2019</v>
      </c>
      <c r="B9" s="78">
        <f>$C$54</f>
        <v>3.9511727674392016</v>
      </c>
      <c r="C9" s="67"/>
      <c r="D9" s="67"/>
      <c r="E9" s="63"/>
      <c r="F9" s="63"/>
      <c r="G9" s="63"/>
    </row>
    <row r="10" spans="1:8" s="68" customFormat="1" ht="14.1" customHeight="1">
      <c r="A10" s="77">
        <v>2020</v>
      </c>
      <c r="B10" s="78">
        <f>$D$54</f>
        <v>4.0736959630258669</v>
      </c>
      <c r="C10" s="67"/>
      <c r="D10" s="67"/>
      <c r="E10" s="63"/>
      <c r="F10" s="63"/>
      <c r="G10" s="63"/>
    </row>
    <row r="11" spans="1:8" s="68" customFormat="1" ht="14.1" customHeight="1">
      <c r="A11" s="77">
        <v>2021</v>
      </c>
      <c r="B11" s="78">
        <f>$E$54</f>
        <v>4.0729883835106735</v>
      </c>
      <c r="C11" s="67"/>
      <c r="D11" s="67"/>
      <c r="E11" s="63"/>
      <c r="F11" s="63"/>
      <c r="G11" s="63"/>
    </row>
    <row r="12" spans="1:8" s="68" customFormat="1" ht="14.1" customHeight="1">
      <c r="A12" s="77">
        <v>2022</v>
      </c>
      <c r="B12" s="78">
        <f>GETPIVOTDATA("COB",$A$15,"Año",2022)</f>
        <v>4.29170870344094</v>
      </c>
      <c r="C12" s="67"/>
      <c r="D12" s="67"/>
      <c r="E12" s="63"/>
      <c r="F12" s="63"/>
      <c r="G12" s="63"/>
    </row>
    <row r="13" spans="1:8" s="68" customFormat="1" ht="18">
      <c r="A13" s="79" t="s">
        <v>314</v>
      </c>
      <c r="B13" s="78">
        <f>B12-B11</f>
        <v>0.21872031993026653</v>
      </c>
      <c r="C13" s="67"/>
      <c r="D13" s="67"/>
      <c r="E13" s="63"/>
      <c r="F13" s="63"/>
      <c r="G13" s="63"/>
    </row>
    <row r="14" spans="1:8" s="3" customFormat="1" ht="18.75">
      <c r="A14" s="71"/>
      <c r="B14" s="365"/>
      <c r="C14" s="365"/>
      <c r="D14" s="365"/>
      <c r="E14" s="366"/>
      <c r="F14" s="366"/>
      <c r="G14" s="366"/>
      <c r="H14" s="366"/>
    </row>
    <row r="15" spans="1:8">
      <c r="A15" s="83" t="s">
        <v>157</v>
      </c>
      <c r="B15" s="47" t="s">
        <v>45</v>
      </c>
      <c r="G15" s="311"/>
      <c r="H15" s="311"/>
    </row>
    <row r="16" spans="1:8" ht="27">
      <c r="A16" s="47" t="s">
        <v>156</v>
      </c>
      <c r="B16" s="210">
        <v>2018</v>
      </c>
      <c r="C16" s="210">
        <v>2019</v>
      </c>
      <c r="D16" s="210">
        <v>2020</v>
      </c>
      <c r="E16" s="210">
        <v>2021</v>
      </c>
      <c r="F16" s="210">
        <v>2022</v>
      </c>
      <c r="G16" s="313" t="s">
        <v>331</v>
      </c>
      <c r="H16" s="313" t="s">
        <v>332</v>
      </c>
    </row>
    <row r="17" spans="1:8">
      <c r="A17" s="49" t="s">
        <v>49</v>
      </c>
      <c r="B17" s="73">
        <v>3.5923875702717774</v>
      </c>
      <c r="C17" s="200">
        <v>3.6662136760641659</v>
      </c>
      <c r="D17" s="73">
        <v>3.7483144630645158</v>
      </c>
      <c r="E17" s="73">
        <v>3.7491870876667388</v>
      </c>
      <c r="F17" s="73">
        <v>3.9762859962655916</v>
      </c>
      <c r="G17" s="305">
        <f>GETPIVOTDATA("COB",$A$15,"sost","Estatal","Año",2022)-GETPIVOTDATA("COB",$A$15,"sost","Estatal","Año",2021)</f>
        <v>0.22709890859885284</v>
      </c>
      <c r="H17" s="305">
        <f>GETPIVOTDATA("COB",$A$15,"sost","Estatal","Año",2022)-GETPIVOTDATA("COB",$A$15,"sost","Estatal","Año",2018)</f>
        <v>0.3838984259938143</v>
      </c>
    </row>
    <row r="18" spans="1:8">
      <c r="A18" s="51" t="s">
        <v>1</v>
      </c>
      <c r="B18" s="73">
        <v>5.7170512311640049</v>
      </c>
      <c r="C18" s="200">
        <v>5.5579003452202471</v>
      </c>
      <c r="D18" s="73">
        <v>5.2492007236858411</v>
      </c>
      <c r="E18" s="73">
        <v>4.8422224972156913</v>
      </c>
      <c r="F18" s="73">
        <v>5.072930338525544</v>
      </c>
      <c r="G18" s="306">
        <f>GETPIVOTDATA("COB",$A$15,"sost","Estatal","entidad","Aguascalientes","Año",2022)-GETPIVOTDATA("COB",$A$15,"sost","Estatal","entidad","Aguascalientes","Año",2021)</f>
        <v>0.23070784130985267</v>
      </c>
      <c r="H18" s="306">
        <f>GETPIVOTDATA("COB",$A$15,"sost","Estatal","entidad","Aguascalientes","Año",2022)-GETPIVOTDATA("COB",$A$15,"sost","Estatal","entidad","Aguascalientes","Año",2018)</f>
        <v>-0.64412089263846095</v>
      </c>
    </row>
    <row r="19" spans="1:8">
      <c r="A19" s="51" t="s">
        <v>3</v>
      </c>
      <c r="B19" s="73">
        <v>3.5256829811803039</v>
      </c>
      <c r="C19" s="200">
        <v>3.8431269370597638</v>
      </c>
      <c r="D19" s="73">
        <v>3.9373913043478259</v>
      </c>
      <c r="E19" s="73">
        <v>4.0395514933306265</v>
      </c>
      <c r="F19" s="73">
        <v>4.3916951986197832</v>
      </c>
      <c r="G19" s="307">
        <f>GETPIVOTDATA("COB",$A$15,"sost","Estatal","entidad","Baja California","Año",2022)-GETPIVOTDATA("COB",$A$15,"sost","Estatal","entidad","Baja California","Año",2021)</f>
        <v>0.35214370528915673</v>
      </c>
      <c r="H19" s="307">
        <f>GETPIVOTDATA("COB",$A$15,"sost","Estatal","entidad","Baja California","Año",2022)-GETPIVOTDATA("COB",$A$15,"sost","Estatal","entidad","Baja California","Año",2018)</f>
        <v>0.86601221743947931</v>
      </c>
    </row>
    <row r="20" spans="1:8">
      <c r="A20" s="51" t="s">
        <v>4</v>
      </c>
      <c r="B20" s="73">
        <v>3.0465010292488626</v>
      </c>
      <c r="C20" s="200">
        <v>2.8604959294617682</v>
      </c>
      <c r="D20" s="73">
        <v>3.1582091038052811</v>
      </c>
      <c r="E20" s="73">
        <v>3.2439638572063396</v>
      </c>
      <c r="F20" s="73">
        <v>3.4986637899330666</v>
      </c>
      <c r="G20" s="306">
        <f>GETPIVOTDATA("COB",$A$15,"sost","Estatal","entidad","Baja California Sur","Año",2022)-GETPIVOTDATA("COB",$A$15,"sost","Estatal","entidad","Baja California Sur","Año",2021)</f>
        <v>0.25469993272672697</v>
      </c>
      <c r="H20" s="306">
        <f>GETPIVOTDATA("COB",$A$15,"sost","Estatal","entidad","Baja California Sur","Año",2022)-GETPIVOTDATA("COB",$A$15,"sost","Estatal","entidad","Baja California Sur","Año",2018)</f>
        <v>0.45216276068420402</v>
      </c>
    </row>
    <row r="21" spans="1:8">
      <c r="A21" s="51" t="s">
        <v>5</v>
      </c>
      <c r="B21" s="73">
        <v>2.9062752354049461</v>
      </c>
      <c r="C21" s="200">
        <v>3.0689340287876106</v>
      </c>
      <c r="D21" s="73">
        <v>2.9948810481103023</v>
      </c>
      <c r="E21" s="73">
        <v>3.0526315789473681</v>
      </c>
      <c r="F21" s="73">
        <v>3.4378512460757333</v>
      </c>
      <c r="G21" s="307">
        <f>GETPIVOTDATA("COB",$A$15,"sost","Estatal","entidad","Campeche","Año",2022)-GETPIVOTDATA("COB",$A$15,"sost","Estatal","entidad","Campeche","Año",2021)</f>
        <v>0.3852196671283652</v>
      </c>
      <c r="H21" s="307">
        <f>GETPIVOTDATA("COB",$A$15,"sost","Estatal","entidad","Campeche","Año",2022)-GETPIVOTDATA("COB",$A$15,"sost","Estatal","entidad","Campeche","Año",2018)</f>
        <v>0.53157601067078719</v>
      </c>
    </row>
    <row r="22" spans="1:8">
      <c r="A22" s="51" t="s">
        <v>6</v>
      </c>
      <c r="B22" s="73">
        <v>1.7496854226792733</v>
      </c>
      <c r="C22" s="200">
        <v>1.6700292755317112</v>
      </c>
      <c r="D22" s="73">
        <v>1.720801906229285</v>
      </c>
      <c r="E22" s="73">
        <v>1.7612449169246431</v>
      </c>
      <c r="F22" s="73">
        <v>1.7966692020122226</v>
      </c>
      <c r="G22" s="306">
        <f>GETPIVOTDATA("COB",$A$15,"sost","Estatal","entidad","Chiapas","Año",2022)-GETPIVOTDATA("COB",$A$15,"sost","Estatal","entidad","Chiapas","Año",2021)</f>
        <v>3.5424285087579443E-2</v>
      </c>
      <c r="H22" s="306">
        <f>GETPIVOTDATA("COB",$A$15,"sost","Estatal","entidad","Chiapas","Año",2022)-GETPIVOTDATA("COB",$A$15,"sost","Estatal","entidad","Chiapas","Año",2018)</f>
        <v>4.6983779332949283E-2</v>
      </c>
    </row>
    <row r="23" spans="1:8">
      <c r="A23" s="51" t="s">
        <v>7</v>
      </c>
      <c r="B23" s="73">
        <v>3.7107633791644732</v>
      </c>
      <c r="C23" s="200">
        <v>3.9202738623644122</v>
      </c>
      <c r="D23" s="73">
        <v>3.8918488126688016</v>
      </c>
      <c r="E23" s="73">
        <v>3.7265889043582643</v>
      </c>
      <c r="F23" s="73">
        <v>4.3093966252842266</v>
      </c>
      <c r="G23" s="307">
        <f>GETPIVOTDATA("COB",$A$15,"sost","Estatal","entidad","Chihuahua","Año",2022)-GETPIVOTDATA("COB",$A$15,"sost","Estatal","entidad","Chihuahua","Año",2021)</f>
        <v>0.58280772092596234</v>
      </c>
      <c r="H23" s="307">
        <f>GETPIVOTDATA("COB",$A$15,"sost","Estatal","entidad","Chihuahua","Año",2022)-GETPIVOTDATA("COB",$A$15,"sost","Estatal","entidad","Chihuahua","Año",2018)</f>
        <v>0.59863324611975344</v>
      </c>
    </row>
    <row r="24" spans="1:8">
      <c r="A24" s="51" t="s">
        <v>31</v>
      </c>
      <c r="B24" s="73">
        <v>5.5168676881490208</v>
      </c>
      <c r="C24" s="200">
        <v>5.5910959114408296</v>
      </c>
      <c r="D24" s="73">
        <v>5.8339319923371651</v>
      </c>
      <c r="E24" s="73">
        <v>5.7068873752384599</v>
      </c>
      <c r="F24" s="73">
        <v>5.7377931380873228</v>
      </c>
      <c r="G24" s="306">
        <f>GETPIVOTDATA("COB",$A$15,"sost","Estatal","entidad","Coahuila de Zaragoza","Año",2022)-GETPIVOTDATA("COB",$A$15,"sost","Estatal","entidad","Coahuila de Zaragoza","Año",2021)</f>
        <v>3.0905762848862928E-2</v>
      </c>
      <c r="H24" s="306">
        <f>GETPIVOTDATA("COB",$A$15,"sost","Estatal","entidad","Coahuila de Zaragoza","Año",2022)-GETPIVOTDATA("COB",$A$15,"sost","Estatal","entidad","Coahuila de Zaragoza","Año",2018)</f>
        <v>0.22092544993830199</v>
      </c>
    </row>
    <row r="25" spans="1:8">
      <c r="A25" s="51" t="s">
        <v>8</v>
      </c>
      <c r="B25" s="73">
        <v>3.1996995829920096</v>
      </c>
      <c r="C25" s="200">
        <v>3.2634892877691382</v>
      </c>
      <c r="D25" s="73">
        <v>3.1077226023074398</v>
      </c>
      <c r="E25" s="73">
        <v>2.8065511273858195</v>
      </c>
      <c r="F25" s="73">
        <v>2.8761006759959091</v>
      </c>
      <c r="G25" s="307">
        <f>GETPIVOTDATA("COB",$A$15,"sost","Estatal","entidad","Colima","Año",2022)-GETPIVOTDATA("COB",$A$15,"sost","Estatal","entidad","Colima","Año",2021)</f>
        <v>6.9549548610089662E-2</v>
      </c>
      <c r="H25" s="307">
        <f>GETPIVOTDATA("COB",$A$15,"sost","Estatal","entidad","Colima","Año",2022)-GETPIVOTDATA("COB",$A$15,"sost","Estatal","entidad","Colima","Año",2018)</f>
        <v>-0.3235989069961005</v>
      </c>
    </row>
    <row r="26" spans="1:8">
      <c r="A26" s="51" t="s">
        <v>9</v>
      </c>
      <c r="B26" s="73">
        <v>1.5370224334304561</v>
      </c>
      <c r="C26" s="200">
        <v>1.5178055518422759</v>
      </c>
      <c r="D26" s="73">
        <v>1.3408506660434683</v>
      </c>
      <c r="E26" s="73">
        <v>1.3140668186005915</v>
      </c>
      <c r="F26" s="73">
        <v>1.4729064515817061</v>
      </c>
      <c r="G26" s="306">
        <f>GETPIVOTDATA("COB",$A$15,"sost","Estatal","entidad","Durango","Año",2022)-GETPIVOTDATA("COB",$A$15,"sost","Estatal","entidad","Durango","Año",2021)</f>
        <v>0.15883963298111459</v>
      </c>
      <c r="H26" s="306">
        <f>GETPIVOTDATA("COB",$A$15,"sost","Estatal","entidad","Durango","Año",2022)-GETPIVOTDATA("COB",$A$15,"sost","Estatal","entidad","Durango","Año",2018)</f>
        <v>-6.4115981848750003E-2</v>
      </c>
    </row>
    <row r="27" spans="1:8">
      <c r="A27" s="51" t="s">
        <v>10</v>
      </c>
      <c r="B27" s="73">
        <v>4.4578956638947789</v>
      </c>
      <c r="C27" s="200">
        <v>4.5985640740111489</v>
      </c>
      <c r="D27" s="73">
        <v>4.7295530212425838</v>
      </c>
      <c r="E27" s="73">
        <v>4.5035817926033186</v>
      </c>
      <c r="F27" s="73">
        <v>4.7080351213753406</v>
      </c>
      <c r="G27" s="307">
        <f>GETPIVOTDATA("COB",$A$15,"sost","Estatal","entidad","Guanajuato","Año",2022)-GETPIVOTDATA("COB",$A$15,"sost","Estatal","entidad","Guanajuato","Año",2021)</f>
        <v>0.20445332877202205</v>
      </c>
      <c r="H27" s="307">
        <f>GETPIVOTDATA("COB",$A$15,"sost","Estatal","entidad","Guanajuato","Año",2022)-GETPIVOTDATA("COB",$A$15,"sost","Estatal","entidad","Guanajuato","Año",2018)</f>
        <v>0.25013945748056177</v>
      </c>
    </row>
    <row r="28" spans="1:8">
      <c r="A28" s="51" t="s">
        <v>11</v>
      </c>
      <c r="B28" s="73">
        <v>2.2592327801438281</v>
      </c>
      <c r="C28" s="200">
        <v>2.3404196804557404</v>
      </c>
      <c r="D28" s="73">
        <v>2.500118985293418</v>
      </c>
      <c r="E28" s="73">
        <v>2.4378833806716469</v>
      </c>
      <c r="F28" s="73">
        <v>2.4981895439569133</v>
      </c>
      <c r="G28" s="306">
        <f>GETPIVOTDATA("COB",$A$15,"sost","Estatal","entidad","Guerrero","Año",2022)-GETPIVOTDATA("COB",$A$15,"sost","Estatal","entidad","Guerrero","Año",2021)</f>
        <v>6.030616328526639E-2</v>
      </c>
      <c r="H28" s="306">
        <f>GETPIVOTDATA("COB",$A$15,"sost","Estatal","entidad","Guerrero","Año",2022)-GETPIVOTDATA("COB",$A$15,"sost","Estatal","entidad","Guerrero","Año",2018)</f>
        <v>0.23895676381308517</v>
      </c>
    </row>
    <row r="29" spans="1:8">
      <c r="A29" s="51" t="s">
        <v>12</v>
      </c>
      <c r="B29" s="73">
        <v>1.9168003536782736</v>
      </c>
      <c r="C29" s="200">
        <v>2.0265919631740257</v>
      </c>
      <c r="D29" s="73">
        <v>2.0447020871484529</v>
      </c>
      <c r="E29" s="73">
        <v>2.0063115847146209</v>
      </c>
      <c r="F29" s="73">
        <v>2.1087980934154227</v>
      </c>
      <c r="G29" s="307">
        <f>GETPIVOTDATA("COB",$A$15,"sost","Estatal","entidad","Hidalgo","Año",2022)-GETPIVOTDATA("COB",$A$15,"sost","Estatal","entidad","Hidalgo","Año",2021)</f>
        <v>0.10248650870080178</v>
      </c>
      <c r="H29" s="307">
        <f>GETPIVOTDATA("COB",$A$15,"sost","Estatal","entidad","Hidalgo","Año",2022)-GETPIVOTDATA("COB",$A$15,"sost","Estatal","entidad","Hidalgo","Año",2018)</f>
        <v>0.19199773973714906</v>
      </c>
    </row>
    <row r="30" spans="1:8">
      <c r="A30" s="51" t="s">
        <v>13</v>
      </c>
      <c r="B30" s="73">
        <v>2.6834073585774711</v>
      </c>
      <c r="C30" s="200">
        <v>2.6370867429074685</v>
      </c>
      <c r="D30" s="73">
        <v>2.5840349802686338</v>
      </c>
      <c r="E30" s="73">
        <v>2.4710511271284288</v>
      </c>
      <c r="F30" s="73">
        <v>2.5167408710638757</v>
      </c>
      <c r="G30" s="306">
        <f>GETPIVOTDATA("COB",$A$15,"sost","Estatal","entidad","Jalisco","Año",2022)-GETPIVOTDATA("COB",$A$15,"sost","Estatal","entidad","Jalisco","Año",2022)</f>
        <v>0</v>
      </c>
      <c r="H30" s="306">
        <f>GETPIVOTDATA("COB",$A$15,"sost","Estatal","entidad","Jalisco","Año",2022)-GETPIVOTDATA("COB",$A$15,"sost","Estatal","entidad","Jalisco","Año",2022)</f>
        <v>0</v>
      </c>
    </row>
    <row r="31" spans="1:8">
      <c r="A31" s="51" t="s">
        <v>14</v>
      </c>
      <c r="B31" s="73">
        <v>4.5337704434559214</v>
      </c>
      <c r="C31" s="200">
        <v>4.5300560620711607</v>
      </c>
      <c r="D31" s="73">
        <v>4.7873434481146333</v>
      </c>
      <c r="E31" s="73">
        <v>4.8483080316259137</v>
      </c>
      <c r="F31" s="73">
        <v>5.1994547727182745</v>
      </c>
      <c r="G31" s="307">
        <f>GETPIVOTDATA("COB",$A$15,"sost","Estatal","entidad","México","Año",2022)-GETPIVOTDATA("COB",$A$15,"sost","Estatal","entidad","México","Año",2021)</f>
        <v>0.35114674109236077</v>
      </c>
      <c r="H31" s="307">
        <f>GETPIVOTDATA("COB",$A$15,"sost","Estatal","entidad","México","Año",2022)-GETPIVOTDATA("COB",$A$15,"sost","Estatal","entidad","México","Año",2018)</f>
        <v>0.6656843292623531</v>
      </c>
    </row>
    <row r="32" spans="1:8">
      <c r="A32" s="51" t="s">
        <v>30</v>
      </c>
      <c r="B32" s="73">
        <v>3.6945637677904029</v>
      </c>
      <c r="C32" s="200">
        <v>3.7341296945351488</v>
      </c>
      <c r="D32" s="73">
        <v>3.7354762482055786</v>
      </c>
      <c r="E32" s="73">
        <v>3.5420083029621066</v>
      </c>
      <c r="F32" s="73">
        <v>3.8802329060320822</v>
      </c>
      <c r="G32" s="306">
        <f>GETPIVOTDATA("COB",$A$15,"sost","Estatal","entidad","Michoacán de Ocampo","Año",2022)-GETPIVOTDATA("COB",$A$15,"sost","Estatal","entidad","Michoacán de Ocampo","Año",2021)</f>
        <v>0.33822460306997559</v>
      </c>
      <c r="H32" s="306">
        <f>GETPIVOTDATA("COB",$A$15,"sost","Estatal","entidad","Michoacán de Ocampo","Año",2022)-GETPIVOTDATA("COB",$A$15,"sost","Estatal","entidad","Michoacán de Ocampo","Año",2018)</f>
        <v>0.1856691382416793</v>
      </c>
    </row>
    <row r="33" spans="1:8">
      <c r="A33" s="51" t="s">
        <v>15</v>
      </c>
      <c r="B33" s="73">
        <v>3.8269558333098619</v>
      </c>
      <c r="C33" s="200">
        <v>3.8636420102716569</v>
      </c>
      <c r="D33" s="73">
        <v>3.7391616743210574</v>
      </c>
      <c r="E33" s="73">
        <v>3.6927506906883538</v>
      </c>
      <c r="F33" s="73">
        <v>4.1721550605430826</v>
      </c>
      <c r="G33" s="307">
        <f>GETPIVOTDATA("COB",$A$15,"sost","Estatal","entidad","Morelos","Año",2022)-GETPIVOTDATA("COB",$A$15,"sost","Estatal","entidad","Morelos","Año",2021)</f>
        <v>0.47940436985472878</v>
      </c>
      <c r="H33" s="307">
        <f>GETPIVOTDATA("COB",$A$15,"sost","Estatal","entidad","Morelos","Año",2022)-GETPIVOTDATA("COB",$A$15,"sost","Estatal","entidad","Morelos","Año",2018)</f>
        <v>0.34519922723322072</v>
      </c>
    </row>
    <row r="34" spans="1:8">
      <c r="A34" s="51" t="s">
        <v>16</v>
      </c>
      <c r="B34" s="73">
        <v>3.5844797588664767</v>
      </c>
      <c r="C34" s="200">
        <v>3.9446000652633901</v>
      </c>
      <c r="D34" s="73">
        <v>4.0646814526818069</v>
      </c>
      <c r="E34" s="73">
        <v>4.0712838970084659</v>
      </c>
      <c r="F34" s="73">
        <v>4.7164773629291803</v>
      </c>
      <c r="G34" s="306">
        <f>GETPIVOTDATA("COB",$A$15,"sost","Estatal","entidad","Nayarit","Año",2022)-GETPIVOTDATA("COB",$A$15,"sost","Estatal","entidad","Nayarit","Año",2021)</f>
        <v>0.64519346592071436</v>
      </c>
      <c r="H34" s="306">
        <f>GETPIVOTDATA("COB",$A$15,"sost","Estatal","entidad","Nayarit","Año",2022)-GETPIVOTDATA("COB",$A$15,"sost","Estatal","entidad","Nayarit","Año",2018)</f>
        <v>1.1319976040627036</v>
      </c>
    </row>
    <row r="35" spans="1:8">
      <c r="A35" s="51" t="s">
        <v>17</v>
      </c>
      <c r="B35" s="73">
        <v>6.4585205599116273</v>
      </c>
      <c r="C35" s="200">
        <v>6.9352827788522919</v>
      </c>
      <c r="D35" s="73">
        <v>6.5911580732939887</v>
      </c>
      <c r="E35" s="73">
        <v>6.9944815670233957</v>
      </c>
      <c r="F35" s="73">
        <v>6.7671716584380839</v>
      </c>
      <c r="G35" s="307">
        <f>GETPIVOTDATA("COB",$A$15,"sost","Estatal","entidad","Nuevo León","Año",2022)-GETPIVOTDATA("COB",$A$15,"sost","Estatal","entidad","Nuevo León","Año",2021)</f>
        <v>-0.22730990858531186</v>
      </c>
      <c r="H35" s="307">
        <f>GETPIVOTDATA("COB",$A$15,"sost","Estatal","entidad","Nuevo León","Año",2022)-GETPIVOTDATA("COB",$A$15,"sost","Estatal","entidad","Nuevo León","Año",2018)</f>
        <v>0.30865109852645656</v>
      </c>
    </row>
    <row r="36" spans="1:8">
      <c r="A36" s="51" t="s">
        <v>18</v>
      </c>
      <c r="B36" s="73">
        <v>1.6917201172489875</v>
      </c>
      <c r="C36" s="200">
        <v>1.7092938181197372</v>
      </c>
      <c r="D36" s="73">
        <v>1.7686542635406228</v>
      </c>
      <c r="E36" s="73">
        <v>1.8686027459792569</v>
      </c>
      <c r="F36" s="73">
        <v>1.9079780498100465</v>
      </c>
      <c r="G36" s="306">
        <f>GETPIVOTDATA("COB",$A$15,"sost","Estatal","entidad","Puebla","Año",2022)-GETPIVOTDATA("COB",$A$15,"sost","Estatal","entidad","Puebla","Año",2021)</f>
        <v>3.9375303830789576E-2</v>
      </c>
      <c r="H36" s="306">
        <f>GETPIVOTDATA("COB",$A$15,"sost","Estatal","entidad","Puebla","Año",2022)-GETPIVOTDATA("COB",$A$15,"sost","Estatal","entidad","Puebla","Año",2018)</f>
        <v>0.21625793256105896</v>
      </c>
    </row>
    <row r="37" spans="1:8">
      <c r="A37" s="51" t="s">
        <v>29</v>
      </c>
      <c r="B37" s="73">
        <v>2.6497554792320388</v>
      </c>
      <c r="C37" s="200">
        <v>2.7227809051494289</v>
      </c>
      <c r="D37" s="73">
        <v>2.7032875572201416</v>
      </c>
      <c r="E37" s="73">
        <v>2.7093800261984118</v>
      </c>
      <c r="F37" s="73">
        <v>2.9113369328846299</v>
      </c>
      <c r="G37" s="307">
        <f>GETPIVOTDATA("COB",$A$15,"sost","Estatal","entidad","Querétaro de Arteaga","Año",2022)-GETPIVOTDATA("COB",$A$15,"sost","Estatal","entidad","Querétaro de Arteaga","Año",2021)</f>
        <v>0.20195690668621813</v>
      </c>
      <c r="H37" s="307">
        <f>GETPIVOTDATA("COB",$A$15,"sost","Estatal","entidad","Querétaro de Arteaga","Año",2022)-GETPIVOTDATA("COB",$A$15,"sost","Estatal","entidad","Querétaro de Arteaga","Año",2018)</f>
        <v>0.26158145365259111</v>
      </c>
    </row>
    <row r="38" spans="1:8">
      <c r="A38" s="51" t="s">
        <v>19</v>
      </c>
      <c r="B38" s="73">
        <v>8.1058512676183199</v>
      </c>
      <c r="C38" s="200">
        <v>7.9494664732278535</v>
      </c>
      <c r="D38" s="73">
        <v>8.7254438668736913</v>
      </c>
      <c r="E38" s="73">
        <v>9.3755575379125773</v>
      </c>
      <c r="F38" s="73">
        <v>9.9567195404080095</v>
      </c>
      <c r="G38" s="306">
        <f>GETPIVOTDATA("COB",$A$15,"sost","Estatal","entidad","Quintana Roo","Año",2022)-GETPIVOTDATA("COB",$A$15,"sost","Estatal","entidad","Quintana Roo","Año",2021)</f>
        <v>0.58116200249543226</v>
      </c>
      <c r="H38" s="306">
        <f>GETPIVOTDATA("COB",$A$15,"sost","Estatal","entidad","Quintana Roo","Año",2022)-GETPIVOTDATA("COB",$A$15,"sost","Estatal","entidad","Quintana Roo","Año",2018)</f>
        <v>1.8508682727896897</v>
      </c>
    </row>
    <row r="39" spans="1:8">
      <c r="A39" s="51" t="s">
        <v>20</v>
      </c>
      <c r="B39" s="73">
        <v>2.660058687185435</v>
      </c>
      <c r="C39" s="200">
        <v>2.6847056205151589</v>
      </c>
      <c r="D39" s="73">
        <v>2.7213618932766726</v>
      </c>
      <c r="E39" s="73">
        <v>2.7718221617388403</v>
      </c>
      <c r="F39" s="73">
        <v>2.9868137416736258</v>
      </c>
      <c r="G39" s="307">
        <f>GETPIVOTDATA("COB",$A$15,"sost","Estatal","entidad","San Luis Potosí","Año",2022)-GETPIVOTDATA("COB",$A$15,"sost","Estatal","entidad","San Luis Potosí","Año",2021)</f>
        <v>0.21499157993478546</v>
      </c>
      <c r="H39" s="307">
        <f>GETPIVOTDATA("COB",$A$15,"sost","Estatal","entidad","San Luis Potosí","Año",2022)-GETPIVOTDATA("COB",$A$15,"sost","Estatal","entidad","San Luis Potosí","Año",2018)</f>
        <v>0.32675505448819075</v>
      </c>
    </row>
    <row r="40" spans="1:8">
      <c r="A40" s="51" t="s">
        <v>21</v>
      </c>
      <c r="B40" s="73">
        <v>4.6384514775401984</v>
      </c>
      <c r="C40" s="200">
        <v>4.565980688274168</v>
      </c>
      <c r="D40" s="73">
        <v>4.4314577527941115</v>
      </c>
      <c r="E40" s="73">
        <v>4.3288134569504422</v>
      </c>
      <c r="F40" s="73">
        <v>4.7561197837575167</v>
      </c>
      <c r="G40" s="306">
        <f>GETPIVOTDATA("COB",$A$15,"sost","Estatal","entidad","Sinaloa","Año",2022)-GETPIVOTDATA("COB",$A$15,"sost","Estatal","entidad","Sinaloa","Año",2021)</f>
        <v>0.42730632680707448</v>
      </c>
      <c r="H40" s="306">
        <f>GETPIVOTDATA("COB",$A$15,"sost","Estatal","entidad","Sinaloa","Año",2022)-GETPIVOTDATA("COB",$A$15,"sost","Estatal","entidad","Sinaloa","Año",2018)</f>
        <v>0.11766830621731827</v>
      </c>
    </row>
    <row r="41" spans="1:8">
      <c r="A41" s="51" t="s">
        <v>22</v>
      </c>
      <c r="B41" s="73">
        <v>7.763877996119704</v>
      </c>
      <c r="C41" s="200">
        <v>8.32800160658552</v>
      </c>
      <c r="D41" s="73">
        <v>8.7871896320757656</v>
      </c>
      <c r="E41" s="73">
        <v>8.6199921579854735</v>
      </c>
      <c r="F41" s="73">
        <v>9.1451032180098917</v>
      </c>
      <c r="G41" s="307">
        <f>GETPIVOTDATA("COB",$A$15,"sost","Estatal","entidad","Sonora","Año",2022)-GETPIVOTDATA("COB",$A$15,"sost","Estatal","entidad","Sonora","Año",2021)</f>
        <v>0.52511106002441821</v>
      </c>
      <c r="H41" s="307">
        <f>GETPIVOTDATA("COB",$A$15,"sost","Estatal","entidad","Sonora","Año",2022)-GETPIVOTDATA("COB",$A$15,"sost","Estatal","entidad","Sonora","Año",2018)</f>
        <v>1.3812252218901877</v>
      </c>
    </row>
    <row r="42" spans="1:8">
      <c r="A42" s="51" t="s">
        <v>23</v>
      </c>
      <c r="B42" s="73">
        <v>3.7082124213714782</v>
      </c>
      <c r="C42" s="200">
        <v>3.7124579205544008</v>
      </c>
      <c r="D42" s="73">
        <v>3.5981718845369417</v>
      </c>
      <c r="E42" s="73">
        <v>3.6917352860520447</v>
      </c>
      <c r="F42" s="73">
        <v>3.9825394597868393</v>
      </c>
      <c r="G42" s="306">
        <f>GETPIVOTDATA("COB",$A$15,"sost","Estatal","entidad","Tabasco","Año",2022)-GETPIVOTDATA("COB",$A$15,"sost","Estatal","entidad","Tabasco","Año",2021)</f>
        <v>0.29080417373479461</v>
      </c>
      <c r="H42" s="306">
        <f>GETPIVOTDATA("COB",$A$15,"sost","Estatal","entidad","Tabasco","Año",2022)-GETPIVOTDATA("COB",$A$15,"sost","Estatal","entidad","Tabasco","Año",2018)</f>
        <v>0.2743270384153611</v>
      </c>
    </row>
    <row r="43" spans="1:8">
      <c r="A43" s="51" t="s">
        <v>24</v>
      </c>
      <c r="B43" s="73">
        <v>3.9678717981070193</v>
      </c>
      <c r="C43" s="200">
        <v>3.7940371693139698</v>
      </c>
      <c r="D43" s="73">
        <v>3.743747145724694</v>
      </c>
      <c r="E43" s="73">
        <v>3.4042598305821485</v>
      </c>
      <c r="F43" s="73">
        <v>3.918001485096001</v>
      </c>
      <c r="G43" s="307">
        <f>GETPIVOTDATA("COB",$A$15,"sost","Estatal","entidad","Tamaulipas","Año",2022)-GETPIVOTDATA("COB",$A$15,"sost","Estatal","entidad","Tamaulipas","Año",2021)</f>
        <v>0.51374165451385245</v>
      </c>
      <c r="H43" s="307">
        <f>GETPIVOTDATA("COB",$A$15,"sost","Estatal","entidad","Tamaulipas","Año",2022)-GETPIVOTDATA("COB",$A$15,"sost","Estatal","entidad","Tamaulipas","Año",2018)</f>
        <v>-4.9870313011018297E-2</v>
      </c>
    </row>
    <row r="44" spans="1:8">
      <c r="A44" s="51" t="s">
        <v>25</v>
      </c>
      <c r="B44" s="73">
        <v>3.8632679941394179</v>
      </c>
      <c r="C44" s="200">
        <v>3.8914620168463245</v>
      </c>
      <c r="D44" s="73">
        <v>4.021469198109429</v>
      </c>
      <c r="E44" s="73">
        <v>3.9436431623931623</v>
      </c>
      <c r="F44" s="73">
        <v>4.1492665167576828</v>
      </c>
      <c r="G44" s="306">
        <f>GETPIVOTDATA("COB",$A$15,"sost","Estatal","entidad","Tlaxcala","Año",2022)-GETPIVOTDATA("COB",$A$15,"sost","Estatal","entidad","Tlaxcala","Año",2021)</f>
        <v>0.20562335436452051</v>
      </c>
      <c r="H44" s="306">
        <f>GETPIVOTDATA("COB",$A$15,"sost","Estatal","entidad","Tlaxcala","Año",2022)-GETPIVOTDATA("COB",$A$15,"sost","Estatal","entidad","Tlaxcala","Año",2018)</f>
        <v>0.28599852261826486</v>
      </c>
    </row>
    <row r="45" spans="1:8">
      <c r="A45" s="51" t="s">
        <v>53</v>
      </c>
      <c r="B45" s="73">
        <v>1.7895716095521912</v>
      </c>
      <c r="C45" s="200">
        <v>1.9328813723703879</v>
      </c>
      <c r="D45" s="73">
        <v>2.2069527881177899</v>
      </c>
      <c r="E45" s="73">
        <v>2.4571313667345418</v>
      </c>
      <c r="F45" s="73">
        <v>2.7135536034812247</v>
      </c>
      <c r="G45" s="307">
        <f>GETPIVOTDATA("COB",$A$15,"sost","Estatal","entidad","Veracruz llave","Año",2022)-GETPIVOTDATA("COB",$A$15,"sost","Estatal","entidad","Veracruz llave","Año",2021)</f>
        <v>0.25642223674668285</v>
      </c>
      <c r="H45" s="307">
        <f>GETPIVOTDATA("COB",$A$15,"sost","Estatal","entidad","Veracruz llave","Año",2022)-GETPIVOTDATA("COB",$A$15,"sost","Estatal","entidad","Veracruz llave","Año",2018)</f>
        <v>0.92398199392903346</v>
      </c>
    </row>
    <row r="46" spans="1:8">
      <c r="A46" s="51" t="s">
        <v>26</v>
      </c>
      <c r="B46" s="73">
        <v>3.5766263848928013</v>
      </c>
      <c r="C46" s="200">
        <v>3.6321400835525113</v>
      </c>
      <c r="D46" s="73">
        <v>3.8892224165383307</v>
      </c>
      <c r="E46" s="73">
        <v>3.7410537170221878</v>
      </c>
      <c r="F46" s="73">
        <v>3.9136242990982755</v>
      </c>
      <c r="G46" s="306">
        <f>GETPIVOTDATA("COB",$A$15,"sost","Estatal","entidad","Yucatán","Año",2022)-GETPIVOTDATA("COB",$A$15,"sost","Estatal","entidad","Yucatán","Año",2021)</f>
        <v>0.17257058207608766</v>
      </c>
      <c r="H46" s="306">
        <f>GETPIVOTDATA("COB",$A$15,"sost","Estatal","entidad","Yucatán","Año",2022)-GETPIVOTDATA("COB",$A$15,"sost","Estatal","entidad","Yucatán","Año",2018)</f>
        <v>0.3369979142054742</v>
      </c>
    </row>
    <row r="47" spans="1:8">
      <c r="A47" s="51" t="s">
        <v>27</v>
      </c>
      <c r="B47" s="73">
        <v>1.374587343717425</v>
      </c>
      <c r="C47" s="200">
        <v>1.322627888571684</v>
      </c>
      <c r="D47" s="73">
        <v>1.1683067825779974</v>
      </c>
      <c r="E47" s="73">
        <v>1.2762358729914662</v>
      </c>
      <c r="F47" s="73">
        <v>1.3062520529946349</v>
      </c>
      <c r="G47" s="307">
        <f>GETPIVOTDATA("COB",$A$15,"sost","Estatal","entidad","Zacatecas","Año",2022)-GETPIVOTDATA("COB",$A$15,"sost","Estatal","entidad","Zacatecas","Año",2021)</f>
        <v>3.0016180003168635E-2</v>
      </c>
      <c r="H47" s="307">
        <f>GETPIVOTDATA("COB",$A$15,"sost","Estatal","entidad","Zacatecas","Año",2022)-GETPIVOTDATA("COB",$A$15,"sost","Estatal","entidad","Zacatecas","Año",2018)</f>
        <v>-6.8335290722790099E-2</v>
      </c>
    </row>
    <row r="48" spans="1:8">
      <c r="A48" s="49" t="s">
        <v>50</v>
      </c>
      <c r="B48" s="86">
        <v>6.4332086160205426</v>
      </c>
      <c r="C48" s="200">
        <v>6.7299490231033072</v>
      </c>
      <c r="D48" s="86">
        <v>7.3322958662492592</v>
      </c>
      <c r="E48" s="86">
        <v>7.3536625654476468</v>
      </c>
      <c r="F48" s="86">
        <v>7.5262182794317507</v>
      </c>
      <c r="G48" s="308">
        <f>GETPIVOTDATA("COB",$A$15,"sost","Federal","Año",2022)-GETPIVOTDATA("COB",$A$15,"sost","Federal","Año",2021)</f>
        <v>0.17255571398410385</v>
      </c>
      <c r="H48" s="308">
        <f>GETPIVOTDATA("COB",$A$15,"sost","Federal","Año",2022)-GETPIVOTDATA("COB",$A$15,"sost","Federal","Año",2018)</f>
        <v>1.0930096634112081</v>
      </c>
    </row>
    <row r="49" spans="1:8">
      <c r="A49" s="51" t="s">
        <v>32</v>
      </c>
      <c r="B49" s="73">
        <v>9.0047176188423084</v>
      </c>
      <c r="C49" s="200">
        <v>9.3834445986927566</v>
      </c>
      <c r="D49" s="73">
        <v>10.334609046935629</v>
      </c>
      <c r="E49" s="73">
        <v>10.58107848469842</v>
      </c>
      <c r="F49" s="73">
        <v>10.738699738269041</v>
      </c>
      <c r="G49" s="307">
        <f>GETPIVOTDATA("COB",$A$15,"sost","Federal","entidad","Ciudad de México","Año",2022)-GETPIVOTDATA("COB",$A$15,"sost","Federal","entidad","Ciudad de México","Año",2021)</f>
        <v>0.15762125357062118</v>
      </c>
      <c r="H49" s="307">
        <f>GETPIVOTDATA("COB",$A$15,"sost","Federal","entidad","Ciudad de México","Año",2022)-GETPIVOTDATA("COB",$A$15,"sost","Federal","entidad","Ciudad de México","Año",2018)</f>
        <v>1.7339821194267326</v>
      </c>
    </row>
    <row r="50" spans="1:8">
      <c r="A50" s="51" t="s">
        <v>28</v>
      </c>
      <c r="B50" s="73">
        <v>2.1579144300751101</v>
      </c>
      <c r="C50" s="200">
        <v>2.3341243896166404</v>
      </c>
      <c r="D50" s="73">
        <v>2.4144221015833489</v>
      </c>
      <c r="E50" s="73">
        <v>2.1636487856673501</v>
      </c>
      <c r="F50" s="73">
        <v>2.453262878867148</v>
      </c>
      <c r="G50" s="306">
        <f>GETPIVOTDATA("COB",$A$15,"sost","Federal","entidad","Oaxaca","Año",2022)-GETPIVOTDATA("COB",$A$15,"sost","Federal","entidad","Oaxaca","Año",2021)</f>
        <v>0.28961409319979792</v>
      </c>
      <c r="H50" s="306">
        <f>GETPIVOTDATA("COB",$A$15,"sost","Federal","entidad","Oaxaca","Año",2022)-GETPIVOTDATA("COB",$A$15,"sost","Federal","entidad","Oaxaca","Año",2018)</f>
        <v>0.29534844879203792</v>
      </c>
    </row>
    <row r="51" spans="1:8" ht="15">
      <c r="A51" s="51" t="s">
        <v>39</v>
      </c>
      <c r="B51" s="73">
        <v>0</v>
      </c>
      <c r="C51" s="352">
        <v>0</v>
      </c>
      <c r="D51" s="73">
        <v>0</v>
      </c>
      <c r="E51" s="73">
        <v>0</v>
      </c>
      <c r="F51" s="73">
        <v>0</v>
      </c>
      <c r="G51" s="307">
        <f>GETPIVOTDATA("COB",$A$15,"sost","Federal","entidad","Oficinas Nacionales","Año",2022)-GETPIVOTDATA("COB",$A$15,"sost","Federal","entidad","Oficinas Nacionales","Año",2021)</f>
        <v>0</v>
      </c>
      <c r="H51" s="307">
        <f>GETPIVOTDATA("COB",$A$15,"sost","Federal","entidad","Oficinas Nacionales","Año",2022)-GETPIVOTDATA("COB",$A$15,"sost","Federal","entidad","Oficinas Nacionales","Año",2018)</f>
        <v>0</v>
      </c>
    </row>
    <row r="52" spans="1:8" ht="15" hidden="1">
      <c r="A52" s="49" t="s">
        <v>124</v>
      </c>
      <c r="B52" s="73">
        <v>0</v>
      </c>
      <c r="C52" s="352">
        <v>0</v>
      </c>
      <c r="D52" s="73">
        <v>0</v>
      </c>
      <c r="E52" s="73">
        <v>0</v>
      </c>
      <c r="F52" s="73">
        <v>0</v>
      </c>
      <c r="G52" s="308">
        <f>GETPIVOTDATA("COB",$A$15,"sost","Otro","Año",2022)-GETPIVOTDATA("COB",$A$15,"sost","Otro","Año",2021)</f>
        <v>0</v>
      </c>
      <c r="H52" s="308">
        <f>GETPIVOTDATA("COB",$A$15,"sost","Otro","Año",2022)-GETPIVOTDATA("COB",$A$15,"sost","Otro","Año",2018)</f>
        <v>0</v>
      </c>
    </row>
    <row r="53" spans="1:8" ht="15" hidden="1">
      <c r="A53" s="51" t="s">
        <v>40</v>
      </c>
      <c r="B53" s="73">
        <v>0</v>
      </c>
      <c r="C53" s="352">
        <v>0</v>
      </c>
      <c r="D53" s="73">
        <v>0</v>
      </c>
      <c r="E53" s="73">
        <v>0</v>
      </c>
      <c r="F53" s="73">
        <v>0</v>
      </c>
      <c r="G53" s="307">
        <f>GETPIVOTDATA("COB",$A$15,"sost","Otro","entidad","Otros","Año",2022)-GETPIVOTDATA("COB",$A$15,"sost","Otro","entidad","Otros","Año",2021)</f>
        <v>0</v>
      </c>
      <c r="H53" s="307">
        <f>GETPIVOTDATA("COB",$A$15,"sost","Otro","entidad","Otros","Año",2022)-GETPIVOTDATA("COB",$A$15,"sost","Otro","entidad","Otros","Año",2018)</f>
        <v>0</v>
      </c>
    </row>
    <row r="54" spans="1:8" ht="15" hidden="1">
      <c r="A54" s="49" t="s">
        <v>37</v>
      </c>
      <c r="B54" s="73">
        <v>3.8587193062876439</v>
      </c>
      <c r="C54" s="352">
        <v>3.9511727674392016</v>
      </c>
      <c r="D54" s="73">
        <v>4.0736959630258669</v>
      </c>
      <c r="E54" s="73">
        <v>4.0729883835106735</v>
      </c>
      <c r="F54" s="73">
        <v>4.29170870344094</v>
      </c>
      <c r="G54" s="309">
        <f>GETPIVOTDATA("COB",$A$15,"Año",2022)-GETPIVOTDATA("COB",$A$15,"Año",2021)</f>
        <v>0.21872031993026653</v>
      </c>
      <c r="H54" s="309">
        <f>GETPIVOTDATA("COB",$A$15,"Año",2022)-GETPIVOTDATA("COB",$A$15,"Año",2018)</f>
        <v>0.4329893971532961</v>
      </c>
    </row>
    <row r="56" spans="1:8">
      <c r="A56" s="199" t="s">
        <v>264</v>
      </c>
      <c r="B56" s="85"/>
      <c r="C56" s="85"/>
      <c r="D56" s="85"/>
      <c r="E56" s="85"/>
      <c r="F56" s="85"/>
      <c r="G56" s="85"/>
    </row>
  </sheetData>
  <mergeCells count="4">
    <mergeCell ref="B14:D14"/>
    <mergeCell ref="E14:F14"/>
    <mergeCell ref="A5:H5"/>
    <mergeCell ref="G14:H14"/>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6"/>
  <sheetViews>
    <sheetView showGridLines="0" view="pageBreakPreview" topLeftCell="A43" zoomScale="115" zoomScaleNormal="120" zoomScaleSheetLayoutView="115" workbookViewId="0">
      <selection activeCell="L39" sqref="L39"/>
    </sheetView>
  </sheetViews>
  <sheetFormatPr baseColWidth="10" defaultColWidth="11.42578125" defaultRowHeight="13.5"/>
  <cols>
    <col min="1" max="1" width="24" style="48" customWidth="1"/>
    <col min="2" max="8" width="9.5703125" style="48" customWidth="1"/>
    <col min="9" max="9" width="11.5703125" style="48" bestFit="1" customWidth="1"/>
    <col min="10" max="10" width="15.140625" style="48" bestFit="1"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G1" s="64"/>
      <c r="H1" s="64" t="s">
        <v>48</v>
      </c>
    </row>
    <row r="2" spans="1:11" s="3" customFormat="1" ht="15" customHeight="1">
      <c r="B2" s="1"/>
      <c r="C2" s="1"/>
      <c r="D2" s="1"/>
      <c r="E2" s="1"/>
      <c r="G2" s="6"/>
      <c r="H2" s="6" t="s">
        <v>42</v>
      </c>
    </row>
    <row r="3" spans="1:11" s="3" customFormat="1" ht="15" customHeight="1">
      <c r="B3" s="1"/>
      <c r="C3" s="1"/>
      <c r="D3" s="1"/>
      <c r="E3" s="1"/>
      <c r="F3" s="1"/>
      <c r="G3" s="1"/>
      <c r="H3" s="1"/>
    </row>
    <row r="4" spans="1:11" s="3" customFormat="1" ht="5.25" customHeight="1">
      <c r="B4" s="1"/>
      <c r="C4" s="1"/>
      <c r="D4" s="1"/>
      <c r="E4" s="1"/>
      <c r="F4" s="1"/>
      <c r="G4" s="1"/>
      <c r="H4" s="1"/>
    </row>
    <row r="5" spans="1:11" s="3" customFormat="1" ht="15" customHeight="1">
      <c r="A5" s="367" t="s">
        <v>158</v>
      </c>
      <c r="B5" s="367"/>
      <c r="C5" s="367"/>
      <c r="D5" s="367"/>
      <c r="E5" s="367"/>
      <c r="F5" s="367"/>
      <c r="G5" s="367"/>
      <c r="H5" s="367"/>
    </row>
    <row r="6" spans="1:11" s="3" customFormat="1" ht="8.1" customHeight="1">
      <c r="A6" s="5"/>
      <c r="B6" s="63"/>
      <c r="C6" s="65"/>
      <c r="D6" s="65"/>
      <c r="E6" s="66"/>
      <c r="F6" s="66"/>
      <c r="G6" s="66"/>
      <c r="H6" s="66"/>
    </row>
    <row r="7" spans="1:11" s="68" customFormat="1" ht="15" customHeight="1">
      <c r="A7" s="76" t="s">
        <v>45</v>
      </c>
      <c r="B7" s="76" t="s">
        <v>0</v>
      </c>
      <c r="C7" s="67"/>
      <c r="D7" s="67"/>
      <c r="E7" s="63"/>
      <c r="F7" s="63"/>
      <c r="G7" s="63"/>
      <c r="H7" s="63"/>
    </row>
    <row r="8" spans="1:11" s="68" customFormat="1" ht="15" customHeight="1">
      <c r="A8" s="77">
        <v>2018</v>
      </c>
      <c r="B8" s="78">
        <f>$B$54</f>
        <v>81.04278601558201</v>
      </c>
      <c r="C8" s="69"/>
      <c r="D8" s="67"/>
      <c r="E8" s="63"/>
      <c r="F8" s="63"/>
      <c r="G8" s="63"/>
      <c r="H8" s="63"/>
    </row>
    <row r="9" spans="1:11" s="68" customFormat="1" ht="15" customHeight="1">
      <c r="A9" s="77">
        <v>2019</v>
      </c>
      <c r="B9" s="78">
        <f>$C$54</f>
        <v>85.679834554313146</v>
      </c>
      <c r="C9" s="67"/>
      <c r="D9" s="67"/>
      <c r="E9" s="63"/>
      <c r="F9" s="63"/>
      <c r="G9" s="63"/>
      <c r="H9" s="63"/>
    </row>
    <row r="10" spans="1:11" s="68" customFormat="1" ht="15" customHeight="1">
      <c r="A10" s="77">
        <v>2020</v>
      </c>
      <c r="B10" s="78">
        <f>$D$54</f>
        <v>86.388435835630673</v>
      </c>
      <c r="C10" s="67"/>
      <c r="D10" s="67"/>
      <c r="E10" s="63"/>
      <c r="F10" s="63"/>
      <c r="G10" s="63"/>
      <c r="H10" s="63"/>
    </row>
    <row r="11" spans="1:11" s="68" customFormat="1" ht="15" customHeight="1">
      <c r="A11" s="77">
        <v>2021</v>
      </c>
      <c r="B11" s="78">
        <f>$E$54</f>
        <v>88.471603313694416</v>
      </c>
      <c r="C11" s="67"/>
      <c r="D11" s="67"/>
      <c r="E11" s="63"/>
      <c r="F11" s="63"/>
      <c r="G11" s="63"/>
      <c r="H11" s="63"/>
    </row>
    <row r="12" spans="1:11" s="68" customFormat="1" ht="15" customHeight="1">
      <c r="A12" s="77">
        <v>2022</v>
      </c>
      <c r="B12" s="78">
        <f>$F$54</f>
        <v>86.481377068753943</v>
      </c>
      <c r="C12" s="67"/>
      <c r="D12" s="67"/>
      <c r="E12" s="63"/>
      <c r="F12" s="63"/>
      <c r="G12" s="63"/>
      <c r="H12" s="63"/>
    </row>
    <row r="13" spans="1:11" s="68" customFormat="1" ht="15" customHeight="1">
      <c r="A13" s="79" t="s">
        <v>314</v>
      </c>
      <c r="B13" s="78">
        <f>B12-B11</f>
        <v>-1.9902262449404731</v>
      </c>
      <c r="C13" s="67"/>
      <c r="D13" s="67"/>
      <c r="E13" s="63"/>
      <c r="F13" s="63"/>
      <c r="G13" s="63"/>
      <c r="H13" s="63"/>
    </row>
    <row r="14" spans="1:11" s="3" customFormat="1" ht="18.75">
      <c r="A14" s="71"/>
      <c r="B14" s="365"/>
      <c r="C14" s="365"/>
      <c r="D14" s="365"/>
      <c r="E14" s="366"/>
      <c r="F14" s="366"/>
      <c r="G14" s="310"/>
      <c r="H14" s="310"/>
    </row>
    <row r="15" spans="1:11" hidden="1">
      <c r="A15" s="83" t="s">
        <v>159</v>
      </c>
      <c r="B15" s="47" t="s">
        <v>45</v>
      </c>
      <c r="G15" s="311"/>
      <c r="H15" s="311"/>
      <c r="I15" s="2"/>
      <c r="J15" s="2"/>
      <c r="K15" s="2"/>
    </row>
    <row r="16" spans="1:11" ht="27">
      <c r="A16" s="47" t="s">
        <v>156</v>
      </c>
      <c r="B16" s="48">
        <v>2018</v>
      </c>
      <c r="C16" s="48">
        <v>2019</v>
      </c>
      <c r="D16" s="48">
        <v>2020</v>
      </c>
      <c r="E16" s="48">
        <v>2021</v>
      </c>
      <c r="F16" s="48">
        <v>2022</v>
      </c>
      <c r="G16" s="313" t="s">
        <v>331</v>
      </c>
      <c r="H16" s="313" t="s">
        <v>332</v>
      </c>
      <c r="I16" s="2"/>
      <c r="J16" s="2"/>
      <c r="K16" s="2"/>
    </row>
    <row r="17" spans="1:11">
      <c r="A17" s="49" t="s">
        <v>49</v>
      </c>
      <c r="B17" s="73">
        <v>82.412345967998121</v>
      </c>
      <c r="C17" s="73">
        <v>87.49608464135315</v>
      </c>
      <c r="D17" s="73">
        <v>87.863670438724867</v>
      </c>
      <c r="E17" s="73">
        <v>89.490445859872608</v>
      </c>
      <c r="F17" s="73">
        <v>87.433843513088263</v>
      </c>
      <c r="G17" s="305">
        <f>GETPIVOTDATA("ATN",$A$15,"sost","Estatal","Año",2022)-GETPIVOTDATA("ATN",$A$15,"sost","Estatal","Año",2021)</f>
        <v>-2.0566023467843451</v>
      </c>
      <c r="H17" s="305">
        <f>GETPIVOTDATA("ATN",$A$15,"sost","Estatal","Año",2022)-GETPIVOTDATA("ATN",$A$15,"sost","Estatal","Año",2018)</f>
        <v>5.021497545090142</v>
      </c>
      <c r="I17" s="2"/>
      <c r="J17" s="2"/>
      <c r="K17" s="2"/>
    </row>
    <row r="18" spans="1:11">
      <c r="A18" s="51" t="s">
        <v>1</v>
      </c>
      <c r="B18" s="73">
        <v>57.664731990440423</v>
      </c>
      <c r="C18" s="73">
        <v>57.162970784934885</v>
      </c>
      <c r="D18" s="73">
        <v>59.458509142053451</v>
      </c>
      <c r="E18" s="73">
        <v>62.05269366889501</v>
      </c>
      <c r="F18" s="73">
        <v>56.736877298562348</v>
      </c>
      <c r="G18" s="306">
        <f>GETPIVOTDATA("ATN",$A$15,"sost","Estatal","entidad","Aguascalientes","Año",2022)-GETPIVOTDATA("ATN",$A$15,"sost","Estatal","entidad","Aguascalientes","Año",2021)</f>
        <v>-5.3158163703326622</v>
      </c>
      <c r="H18" s="306">
        <f>GETPIVOTDATA("ATN",$A$15,"sost","Estatal","entidad","Aguascalientes","Año",2022)-GETPIVOTDATA("ATN",$A$15,"sost","Estatal","entidad","Aguascalientes","Año",2018)</f>
        <v>-0.92785469187807479</v>
      </c>
      <c r="I18" s="2"/>
      <c r="J18" s="2"/>
      <c r="K18" s="2"/>
    </row>
    <row r="19" spans="1:11">
      <c r="A19" s="51" t="s">
        <v>3</v>
      </c>
      <c r="B19" s="73">
        <v>90.723919625653721</v>
      </c>
      <c r="C19" s="73">
        <v>87.052341597796143</v>
      </c>
      <c r="D19" s="73">
        <v>89.640883977900558</v>
      </c>
      <c r="E19" s="73">
        <v>94.711401762866075</v>
      </c>
      <c r="F19" s="73">
        <v>89.965792474344354</v>
      </c>
      <c r="G19" s="307">
        <f>GETPIVOTDATA("ATN",$A$15,"sost","Estatal","entidad","Baja California","Año",2022)-GETPIVOTDATA("ATN",$A$15,"sost","Estatal","entidad","Baja California","Año",2021)</f>
        <v>-4.7456092885217203</v>
      </c>
      <c r="H19" s="307">
        <f>GETPIVOTDATA("ATN",$A$15,"sost","Estatal","entidad","Baja California","Año",2022)-GETPIVOTDATA("ATN",$A$15,"sost","Estatal","entidad","Baja California","Año",2018)</f>
        <v>-0.75812715130936681</v>
      </c>
      <c r="I19" s="2"/>
      <c r="J19" s="2"/>
      <c r="K19" s="2"/>
    </row>
    <row r="20" spans="1:11">
      <c r="A20" s="51" t="s">
        <v>4</v>
      </c>
      <c r="B20" s="73">
        <v>68.036072144288568</v>
      </c>
      <c r="C20" s="73">
        <v>63.301787592008409</v>
      </c>
      <c r="D20" s="73">
        <v>65.8322903629537</v>
      </c>
      <c r="E20" s="73">
        <v>71.979695431472081</v>
      </c>
      <c r="F20" s="73">
        <v>67.580340264650289</v>
      </c>
      <c r="G20" s="306">
        <f>GETPIVOTDATA("ATN",$A$15,"sost","Estatal","entidad","Baja California Sur","Año",2022)-GETPIVOTDATA("ATN",$A$15,"sost","Estatal","entidad","Baja California Sur","Año",2021)</f>
        <v>-4.3993551668217918</v>
      </c>
      <c r="H20" s="306">
        <f>GETPIVOTDATA("ATN",$A$15,"sost","Estatal","entidad","Baja California Sur","Año",2022)-GETPIVOTDATA("ATN",$A$15,"sost","Estatal","entidad","Baja California Sur","Año",2018)</f>
        <v>-0.45573187963827877</v>
      </c>
      <c r="I20" s="2"/>
      <c r="J20" s="2"/>
      <c r="K20" s="2"/>
    </row>
    <row r="21" spans="1:11">
      <c r="A21" s="51" t="s">
        <v>5</v>
      </c>
      <c r="B21" s="73">
        <v>89.662921348314612</v>
      </c>
      <c r="C21" s="73">
        <v>88.862837045720994</v>
      </c>
      <c r="D21" s="73">
        <v>84.691358024691354</v>
      </c>
      <c r="E21" s="73">
        <v>90.136054421768705</v>
      </c>
      <c r="F21" s="73">
        <v>88.307692307692307</v>
      </c>
      <c r="G21" s="307">
        <f>GETPIVOTDATA("ATN",$A$15,"sost","Estatal","entidad","Campeche","Año",2022)-GETPIVOTDATA("ATN",$A$15,"sost","Estatal","entidad","Campeche","Año",2021)</f>
        <v>-1.8283621140763984</v>
      </c>
      <c r="H21" s="307">
        <f>GETPIVOTDATA("ATN",$A$15,"sost","Estatal","entidad","Campeche","Año",2022)-GETPIVOTDATA("ATN",$A$15,"sost","Estatal","entidad","Campeche","Año",2018)</f>
        <v>-1.3552290406223051</v>
      </c>
      <c r="I21" s="2"/>
      <c r="J21" s="2"/>
      <c r="K21" s="2"/>
    </row>
    <row r="22" spans="1:11">
      <c r="A22" s="51" t="s">
        <v>6</v>
      </c>
      <c r="B22" s="73">
        <v>82.647644326476438</v>
      </c>
      <c r="C22" s="73">
        <v>87.11876569788302</v>
      </c>
      <c r="D22" s="73">
        <v>81.8032786885246</v>
      </c>
      <c r="E22" s="73">
        <v>82.598408259840824</v>
      </c>
      <c r="F22" s="73">
        <v>81.217057977958802</v>
      </c>
      <c r="G22" s="306">
        <f>GETPIVOTDATA("ATN",$A$15,"sost","Estatal","entidad","Chiapas","Año",2022)-GETPIVOTDATA("ATN",$A$15,"sost","Estatal","entidad","Chiapas","Año",2021)</f>
        <v>-1.3813502818820211</v>
      </c>
      <c r="H22" s="306">
        <f>GETPIVOTDATA("ATN",$A$15,"sost","Estatal","entidad","Chiapas","Año",2022)-GETPIVOTDATA("ATN",$A$15,"sost","Estatal","entidad","Chiapas","Año",2018)</f>
        <v>-1.430586348517636</v>
      </c>
      <c r="I22" s="2"/>
      <c r="J22" s="2"/>
      <c r="K22" s="2"/>
    </row>
    <row r="23" spans="1:11">
      <c r="A23" s="51" t="s">
        <v>7</v>
      </c>
      <c r="B23" s="73">
        <v>82.195481335952849</v>
      </c>
      <c r="C23" s="73">
        <v>82.544574069997793</v>
      </c>
      <c r="D23" s="73">
        <v>81.216094032549719</v>
      </c>
      <c r="E23" s="73">
        <v>83.284671532846716</v>
      </c>
      <c r="F23" s="73">
        <v>91.277013752455787</v>
      </c>
      <c r="G23" s="307">
        <f>GETPIVOTDATA("ATN",$A$15,"sost","Estatal","entidad","Chihuahua","Año",2022)-GETPIVOTDATA("ATN",$A$15,"sost","Estatal","entidad","Chihuahua","Año",2021)</f>
        <v>7.9923422196090712</v>
      </c>
      <c r="H23" s="307">
        <f>GETPIVOTDATA("ATN",$A$15,"sost","Estatal","entidad","Chihuahua","Año",2022)-GETPIVOTDATA("ATN",$A$15,"sost","Estatal","entidad","Chihuahua","Año",2018)</f>
        <v>9.0815324165029381</v>
      </c>
      <c r="I23" s="2"/>
      <c r="J23" s="2"/>
      <c r="K23" s="2"/>
    </row>
    <row r="24" spans="1:11">
      <c r="A24" s="51" t="s">
        <v>31</v>
      </c>
      <c r="B24" s="73">
        <v>79.117588340986217</v>
      </c>
      <c r="C24" s="73">
        <v>80.215285252960172</v>
      </c>
      <c r="D24" s="73">
        <v>81.573541495480697</v>
      </c>
      <c r="E24" s="73">
        <v>86.621208558664478</v>
      </c>
      <c r="F24" s="73">
        <v>82.089552238805979</v>
      </c>
      <c r="G24" s="306">
        <f>GETPIVOTDATA("ATN",$A$15,"sost","Estatal","entidad","Coahuila de Zaragoza","Año",2022)-GETPIVOTDATA("ATN",$A$15,"sost","Estatal","entidad","Coahuila de Zaragoza","Año",2021)</f>
        <v>-4.5316563198584987</v>
      </c>
      <c r="H24" s="306">
        <f>GETPIVOTDATA("ATN",$A$15,"sost","Estatal","entidad","Coahuila de Zaragoza","Año",2022)-GETPIVOTDATA("ATN",$A$15,"sost","Estatal","entidad","Coahuila de Zaragoza","Año",2018)</f>
        <v>2.9719638978197622</v>
      </c>
      <c r="I24" s="2"/>
      <c r="J24" s="2"/>
      <c r="K24" s="2"/>
    </row>
    <row r="25" spans="1:11">
      <c r="A25" s="51" t="s">
        <v>8</v>
      </c>
      <c r="B25" s="73">
        <v>87.5</v>
      </c>
      <c r="C25" s="73">
        <v>89.467592592592595</v>
      </c>
      <c r="D25" s="73">
        <v>88.162762022194812</v>
      </c>
      <c r="E25" s="73">
        <v>89.723320158102766</v>
      </c>
      <c r="F25" s="73">
        <v>85.764294049008171</v>
      </c>
      <c r="G25" s="307">
        <f>GETPIVOTDATA("ATN",$A$15,"sost","Estatal","entidad","Colima","Año",2022)-GETPIVOTDATA("ATN",$A$15,"sost","Estatal","entidad","Colima","Año",2021)</f>
        <v>-3.9590261090945944</v>
      </c>
      <c r="H25" s="307">
        <f>GETPIVOTDATA("ATN",$A$15,"sost","Estatal","entidad","Colima","Año",2022)-GETPIVOTDATA("ATN",$A$15,"sost","Estatal","entidad","Colima","Año",2018)</f>
        <v>-1.7357059509918287</v>
      </c>
      <c r="I25" s="2"/>
      <c r="J25" s="2"/>
      <c r="K25" s="2"/>
    </row>
    <row r="26" spans="1:11">
      <c r="A26" s="51" t="s">
        <v>9</v>
      </c>
      <c r="B26" s="73">
        <v>89.101796407185631</v>
      </c>
      <c r="C26" s="73">
        <v>89.949748743718601</v>
      </c>
      <c r="D26" s="73">
        <v>91.867469879518069</v>
      </c>
      <c r="E26" s="73">
        <v>90.931989924433253</v>
      </c>
      <c r="F26" s="73">
        <v>91.515837104072389</v>
      </c>
      <c r="G26" s="306">
        <f>GETPIVOTDATA("ATN",$A$15,"sost","Estatal","entidad","Durango","Año",2022)-GETPIVOTDATA("ATN",$A$15,"sost","Estatal","entidad","Durango","Año",2021)</f>
        <v>0.58384717963913602</v>
      </c>
      <c r="H26" s="306">
        <f>GETPIVOTDATA("ATN",$A$15,"sost","Estatal","entidad","Durango","Año",2022)-GETPIVOTDATA("ATN",$A$15,"sost","Estatal","entidad","Durango","Año",2018)</f>
        <v>2.414040696886758</v>
      </c>
      <c r="I26" s="2"/>
      <c r="J26" s="2"/>
      <c r="K26" s="2"/>
    </row>
    <row r="27" spans="1:11">
      <c r="A27" s="51" t="s">
        <v>10</v>
      </c>
      <c r="B27" s="73">
        <v>75.36593668444344</v>
      </c>
      <c r="C27" s="73">
        <v>83.069677575172079</v>
      </c>
      <c r="D27" s="73">
        <v>83.246670894102721</v>
      </c>
      <c r="E27" s="73">
        <v>82.454760031471281</v>
      </c>
      <c r="F27" s="73">
        <v>81.309410646387832</v>
      </c>
      <c r="G27" s="307">
        <f>GETPIVOTDATA("ATN",$A$15,"sost","Estatal","entidad","Guanajuato","Año",2022)-GETPIVOTDATA("ATN",$A$15,"sost","Estatal","entidad","Guanajuato","Año",2021)</f>
        <v>-1.1453493850834491</v>
      </c>
      <c r="H27" s="307">
        <f>GETPIVOTDATA("ATN",$A$15,"sost","Estatal","entidad","Guanajuato","Año",2022)-GETPIVOTDATA("ATN",$A$15,"sost","Estatal","entidad","Guanajuato","Año",2018)</f>
        <v>5.9434739619443917</v>
      </c>
      <c r="I27" s="2"/>
      <c r="J27" s="2"/>
      <c r="K27" s="2"/>
    </row>
    <row r="28" spans="1:11">
      <c r="A28" s="51" t="s">
        <v>11</v>
      </c>
      <c r="B28" s="73">
        <v>75.97836461979</v>
      </c>
      <c r="C28" s="73">
        <v>78.01807617817947</v>
      </c>
      <c r="D28" s="73">
        <v>78.94736842105263</v>
      </c>
      <c r="E28" s="73">
        <v>88.583815028901739</v>
      </c>
      <c r="F28" s="73">
        <v>85.64493758668516</v>
      </c>
      <c r="G28" s="306">
        <f>GETPIVOTDATA("ATN",$A$15,"sost","Estatal","entidad","Guerrero","Año",2022)-GETPIVOTDATA("ATN",$A$15,"sost","Estatal","entidad","Guerrero","Año",2021)</f>
        <v>-2.9388774422165795</v>
      </c>
      <c r="H28" s="306">
        <f>GETPIVOTDATA("ATN",$A$15,"sost","Estatal","entidad","Guerrero","Año",2022)-GETPIVOTDATA("ATN",$A$15,"sost","Estatal","entidad","Guerrero","Año",2018)</f>
        <v>9.6665729668951599</v>
      </c>
      <c r="I28" s="2"/>
      <c r="J28" s="2"/>
      <c r="K28" s="2"/>
    </row>
    <row r="29" spans="1:11">
      <c r="A29" s="51" t="s">
        <v>12</v>
      </c>
      <c r="B29" s="73">
        <v>86.225728155339809</v>
      </c>
      <c r="C29" s="73">
        <v>85.20179372197309</v>
      </c>
      <c r="D29" s="73">
        <v>76.176024279210935</v>
      </c>
      <c r="E29" s="73">
        <v>82.8206616366802</v>
      </c>
      <c r="F29" s="73">
        <v>75.333333333333329</v>
      </c>
      <c r="G29" s="307">
        <f>GETPIVOTDATA("ATN",$A$15,"sost","Estatal","entidad","Hidalgo","Año",2022)-GETPIVOTDATA("ATN",$A$15,"sost","Estatal","entidad","Hidalgo","Año",2021)</f>
        <v>-7.4873283033468709</v>
      </c>
      <c r="H29" s="307">
        <f>GETPIVOTDATA("ATN",$A$15,"sost","Estatal","entidad","Hidalgo","Año",2022)-GETPIVOTDATA("ATN",$A$15,"sost","Estatal","entidad","Hidalgo","Año",2018)</f>
        <v>-10.89239482200648</v>
      </c>
      <c r="I29" s="2"/>
      <c r="J29" s="2"/>
      <c r="K29" s="2"/>
    </row>
    <row r="30" spans="1:11">
      <c r="A30" s="51" t="s">
        <v>13</v>
      </c>
      <c r="B30" s="73">
        <v>95.283344851416729</v>
      </c>
      <c r="C30" s="73">
        <v>96.078785688471271</v>
      </c>
      <c r="D30" s="73">
        <v>98.181477315335584</v>
      </c>
      <c r="E30" s="73">
        <v>98.460880718255666</v>
      </c>
      <c r="F30" s="73">
        <v>96.62756598240469</v>
      </c>
      <c r="G30" s="306">
        <f>GETPIVOTDATA("ATN",$A$15,"sost","Estatal","entidad","Jalisco","Año",2022)-GETPIVOTDATA("ATN",$A$15,"sost","Estatal","entidad","Jalisco","Año",2021)</f>
        <v>-1.8333147358509763</v>
      </c>
      <c r="H30" s="306">
        <f>GETPIVOTDATA("ATN",$A$15,"sost","Estatal","entidad","Jalisco","Año",2022)-GETPIVOTDATA("ATN",$A$15,"sost","Estatal","entidad","Jalisco","Año",2018)</f>
        <v>1.344221130987961</v>
      </c>
      <c r="I30" s="2"/>
      <c r="J30" s="2"/>
      <c r="K30" s="2"/>
    </row>
    <row r="31" spans="1:11">
      <c r="A31" s="51" t="s">
        <v>14</v>
      </c>
      <c r="B31" s="73">
        <v>78.943635529225247</v>
      </c>
      <c r="C31" s="73">
        <v>99.244768448104054</v>
      </c>
      <c r="D31" s="73">
        <v>99.930662968691664</v>
      </c>
      <c r="E31" s="73">
        <v>99.907042869641288</v>
      </c>
      <c r="F31" s="73">
        <v>99.831692762788805</v>
      </c>
      <c r="G31" s="307">
        <f>GETPIVOTDATA("ATN",$A$15,"sost","Estatal","entidad","México","Año",2022)-GETPIVOTDATA("ATN",$A$15,"sost","Estatal","entidad","México","Año",2021)</f>
        <v>-7.5350106852482668E-2</v>
      </c>
      <c r="H31" s="307">
        <f>GETPIVOTDATA("ATN",$A$15,"sost","Estatal","entidad","México","Año",2022)-GETPIVOTDATA("ATN",$A$15,"sost","Estatal","entidad","México","Año",2018)</f>
        <v>20.888057233563558</v>
      </c>
      <c r="I31" s="2"/>
      <c r="J31" s="2"/>
      <c r="K31" s="2"/>
    </row>
    <row r="32" spans="1:11">
      <c r="A32" s="51" t="s">
        <v>30</v>
      </c>
      <c r="B32" s="73">
        <v>85.66953797963977</v>
      </c>
      <c r="C32" s="73">
        <v>85.852525643506866</v>
      </c>
      <c r="D32" s="73">
        <v>88.9630711454204</v>
      </c>
      <c r="E32" s="73">
        <v>90.596229723805351</v>
      </c>
      <c r="F32" s="73">
        <v>83.197000681663255</v>
      </c>
      <c r="G32" s="306">
        <f>GETPIVOTDATA("ATN",$A$15,"sost","Estatal","entidad","Michoacán de Ocampo","Año",2022)-GETPIVOTDATA("ATN",$A$15,"sost","Estatal","entidad","Michoacán de Ocampo","Año",2021)</f>
        <v>-7.3992290421420961</v>
      </c>
      <c r="H32" s="306">
        <f>GETPIVOTDATA("ATN",$A$15,"sost","Estatal","entidad","Michoacán de Ocampo","Año",2022)-GETPIVOTDATA("ATN",$A$15,"sost","Estatal","entidad","Michoacán de Ocampo","Año",2018)</f>
        <v>-2.4725372979765154</v>
      </c>
      <c r="I32" s="2"/>
      <c r="J32" s="2"/>
      <c r="K32" s="2"/>
    </row>
    <row r="33" spans="1:11">
      <c r="A33" s="51" t="s">
        <v>15</v>
      </c>
      <c r="B33" s="73">
        <v>84.717760440569066</v>
      </c>
      <c r="C33" s="73">
        <v>87.955182072829132</v>
      </c>
      <c r="D33" s="73">
        <v>86.065186584789799</v>
      </c>
      <c r="E33" s="73">
        <v>86.152416356877325</v>
      </c>
      <c r="F33" s="73">
        <v>84.407057858022156</v>
      </c>
      <c r="G33" s="307">
        <f>GETPIVOTDATA("ATN",$A$15,"sost","Estatal","entidad","Morelos","Año",2022)-GETPIVOTDATA("ATN",$A$15,"sost","Estatal","entidad","Morelos","Año",2021)</f>
        <v>-1.7453584988551682</v>
      </c>
      <c r="H33" s="307">
        <f>GETPIVOTDATA("ATN",$A$15,"sost","Estatal","entidad","Morelos","Año",2022)-GETPIVOTDATA("ATN",$A$15,"sost","Estatal","entidad","Morelos","Año",2018)</f>
        <v>-0.31070258254690941</v>
      </c>
      <c r="I33" s="2"/>
      <c r="J33" s="2"/>
      <c r="K33" s="2"/>
    </row>
    <row r="34" spans="1:11">
      <c r="A34" s="51" t="s">
        <v>16</v>
      </c>
      <c r="B34" s="73">
        <v>83.633633633633636</v>
      </c>
      <c r="C34" s="73">
        <v>87.2340425531915</v>
      </c>
      <c r="D34" s="73">
        <v>88.602150537634401</v>
      </c>
      <c r="E34" s="73">
        <v>88.704088704088704</v>
      </c>
      <c r="F34" s="73">
        <v>87.210584343991187</v>
      </c>
      <c r="G34" s="306">
        <f>GETPIVOTDATA("ATN",$A$15,"sost","Estatal","entidad","Nayarit","Año",2022)-GETPIVOTDATA("ATN",$A$15,"sost","Estatal","entidad","Nayarit","Año",2021)</f>
        <v>-1.4935043600975177</v>
      </c>
      <c r="H34" s="306">
        <f>GETPIVOTDATA("ATN",$A$15,"sost","Estatal","entidad","Nayarit","Año",2022)-GETPIVOTDATA("ATN",$A$15,"sost","Estatal","entidad","Nayarit","Año",2018)</f>
        <v>3.5769507103575506</v>
      </c>
      <c r="I34" s="2"/>
      <c r="J34" s="2"/>
      <c r="K34" s="2"/>
    </row>
    <row r="35" spans="1:11">
      <c r="A35" s="51" t="s">
        <v>17</v>
      </c>
      <c r="B35" s="73">
        <v>86.792870585630467</v>
      </c>
      <c r="C35" s="73">
        <v>90.90160559901193</v>
      </c>
      <c r="D35" s="73">
        <v>84.343265260573602</v>
      </c>
      <c r="E35" s="73">
        <v>83.689890193108667</v>
      </c>
      <c r="F35" s="73">
        <v>76.798765632613282</v>
      </c>
      <c r="G35" s="307">
        <f>GETPIVOTDATA("ATN",$A$15,"sost","Estatal","entidad","Nuevo León","Año",2022)-GETPIVOTDATA("ATN",$A$15,"sost","Estatal","entidad","Nuevo León","Año",2021)</f>
        <v>-6.8911245604953848</v>
      </c>
      <c r="H35" s="307">
        <f>GETPIVOTDATA("ATN",$A$15,"sost","Estatal","entidad","Nuevo León","Año",2022)-GETPIVOTDATA("ATN",$A$15,"sost","Estatal","entidad","Nuevo León","Año",2018)</f>
        <v>-9.9941049530171853</v>
      </c>
      <c r="I35" s="2"/>
      <c r="J35" s="2"/>
      <c r="K35" s="2"/>
    </row>
    <row r="36" spans="1:11">
      <c r="A36" s="51" t="s">
        <v>18</v>
      </c>
      <c r="B36" s="73">
        <v>70.359969364309421</v>
      </c>
      <c r="C36" s="73">
        <v>75.319267073847868</v>
      </c>
      <c r="D36" s="73">
        <v>76.367614879649892</v>
      </c>
      <c r="E36" s="73">
        <v>85.204375359815771</v>
      </c>
      <c r="F36" s="73">
        <v>81.863149216817817</v>
      </c>
      <c r="G36" s="306">
        <f>GETPIVOTDATA("ATN",$A$15,"sost","Estatal","entidad","Puebla","Año",2022)-GETPIVOTDATA("ATN",$A$15,"sost","Estatal","entidad","Puebla","Año",2021)</f>
        <v>-3.3412261429979537</v>
      </c>
      <c r="H36" s="306">
        <f>GETPIVOTDATA("ATN",$A$15,"sost","Estatal","entidad","Puebla","Año",2022)-GETPIVOTDATA("ATN",$A$15,"sost","Estatal","entidad","Puebla","Año",2018)</f>
        <v>11.503179852508396</v>
      </c>
      <c r="I36" s="2"/>
      <c r="J36" s="2"/>
      <c r="K36" s="2"/>
    </row>
    <row r="37" spans="1:11">
      <c r="A37" s="51" t="s">
        <v>29</v>
      </c>
      <c r="B37" s="73">
        <v>70.121951219512198</v>
      </c>
      <c r="C37" s="73">
        <v>62.411032028469748</v>
      </c>
      <c r="D37" s="73">
        <v>68.38565022421524</v>
      </c>
      <c r="E37" s="73">
        <v>69.423993070593326</v>
      </c>
      <c r="F37" s="73">
        <v>91.728525980911982</v>
      </c>
      <c r="G37" s="307">
        <f>GETPIVOTDATA("ATN",$A$15,"sost","Estatal","entidad","Querétaro de Arteaga","Año",2022)-GETPIVOTDATA("ATN",$A$15,"sost","Estatal","entidad","Querétaro de Arteaga","Año",2021)</f>
        <v>22.304532910318656</v>
      </c>
      <c r="H37" s="307">
        <f>GETPIVOTDATA("ATN",$A$15,"sost","Estatal","entidad","Querétaro de Arteaga","Año",2022)-GETPIVOTDATA("ATN",$A$15,"sost","Estatal","entidad","Querétaro de Arteaga","Año",2018)</f>
        <v>21.606574761399784</v>
      </c>
      <c r="I37" s="2"/>
      <c r="J37" s="2"/>
      <c r="K37" s="2"/>
    </row>
    <row r="38" spans="1:11">
      <c r="A38" s="51" t="s">
        <v>19</v>
      </c>
      <c r="B38" s="73">
        <v>86.904761904761912</v>
      </c>
      <c r="C38" s="73">
        <v>89.097202192096915</v>
      </c>
      <c r="D38" s="73">
        <v>93.050494534096828</v>
      </c>
      <c r="E38" s="73">
        <v>94.848403541722575</v>
      </c>
      <c r="F38" s="73">
        <v>90.248659190638719</v>
      </c>
      <c r="G38" s="306">
        <f>GETPIVOTDATA("ATN",$A$15,"sost","Estatal","entidad","Quintana Roo","Año",2022)-GETPIVOTDATA("ATN",$A$15,"sost","Estatal","entidad","Quintana Roo","Año",2021)</f>
        <v>-4.5997443510838565</v>
      </c>
      <c r="H38" s="306">
        <f>GETPIVOTDATA("ATN",$A$15,"sost","Estatal","entidad","Quintana Roo","Año",2022)-GETPIVOTDATA("ATN",$A$15,"sost","Estatal","entidad","Quintana Roo","Año",2018)</f>
        <v>3.3438972858768068</v>
      </c>
      <c r="I38" s="2"/>
      <c r="J38" s="2"/>
      <c r="K38" s="2"/>
    </row>
    <row r="39" spans="1:11">
      <c r="A39" s="51" t="s">
        <v>20</v>
      </c>
      <c r="B39" s="73">
        <v>79.620462046204622</v>
      </c>
      <c r="C39" s="73">
        <v>76.090404440919897</v>
      </c>
      <c r="D39" s="73">
        <v>79.350649350649348</v>
      </c>
      <c r="E39" s="73">
        <v>88.260661236224252</v>
      </c>
      <c r="F39" s="73">
        <v>82.775665399239543</v>
      </c>
      <c r="G39" s="307">
        <f>GETPIVOTDATA("ATN",$A$15,"sost","Estatal","entidad","San Luis Potosí","Año",2022)-GETPIVOTDATA("ATN",$A$15,"sost","Estatal","entidad","San Luis Potosí","Año",2021)</f>
        <v>-5.4849958369847087</v>
      </c>
      <c r="H39" s="307">
        <f>GETPIVOTDATA("ATN",$A$15,"sost","Estatal","entidad","San Luis Potosí","Año",2022)-GETPIVOTDATA("ATN",$A$15,"sost","Estatal","entidad","San Luis Potosí","Año",2018)</f>
        <v>3.1552033530349206</v>
      </c>
      <c r="I39" s="2"/>
      <c r="J39" s="2"/>
      <c r="K39" s="2"/>
    </row>
    <row r="40" spans="1:11">
      <c r="A40" s="51" t="s">
        <v>21</v>
      </c>
      <c r="B40" s="73">
        <v>89.350993377483448</v>
      </c>
      <c r="C40" s="73">
        <v>88.701517706576723</v>
      </c>
      <c r="D40" s="73">
        <v>90.5849233656553</v>
      </c>
      <c r="E40" s="73">
        <v>93.460925039872407</v>
      </c>
      <c r="F40" s="73">
        <v>91.567818463125334</v>
      </c>
      <c r="G40" s="306">
        <f>GETPIVOTDATA("ATN",$A$15,"sost","Estatal","entidad","Sinaloa","Año",2022)-GETPIVOTDATA("ATN",$A$15,"sost","Estatal","entidad","Sinaloa","Año",2021)</f>
        <v>-1.8931065767470727</v>
      </c>
      <c r="H40" s="306">
        <f>GETPIVOTDATA("ATN",$A$15,"sost","Estatal","entidad","Sinaloa","Año",2022)-GETPIVOTDATA("ATN",$A$15,"sost","Estatal","entidad","Sinaloa","Año",2018)</f>
        <v>2.2168250856418865</v>
      </c>
      <c r="I40" s="2"/>
      <c r="J40" s="2"/>
      <c r="K40" s="2"/>
    </row>
    <row r="41" spans="1:11">
      <c r="A41" s="51" t="s">
        <v>22</v>
      </c>
      <c r="B41" s="73">
        <v>96.412919980522645</v>
      </c>
      <c r="C41" s="73">
        <v>98.82862644415917</v>
      </c>
      <c r="D41" s="73">
        <v>99.25021795989538</v>
      </c>
      <c r="E41" s="73">
        <v>99.557913351016808</v>
      </c>
      <c r="F41" s="73">
        <v>99.012123933542881</v>
      </c>
      <c r="G41" s="307">
        <f>GETPIVOTDATA("ATN",$A$15,"sost","Estatal","entidad","Sonora","Año",2022)-GETPIVOTDATA("ATN",$A$15,"sost","Estatal","entidad","Sonora","Año",2021)</f>
        <v>-0.54578941747392662</v>
      </c>
      <c r="H41" s="307">
        <f>GETPIVOTDATA("ATN",$A$15,"sost","Estatal","entidad","Sonora","Año",2022)-GETPIVOTDATA("ATN",$A$15,"sost","Estatal","entidad","Sonora","Año",2018)</f>
        <v>2.5992039530202362</v>
      </c>
      <c r="I41" s="2"/>
      <c r="J41" s="2"/>
      <c r="K41" s="2"/>
    </row>
    <row r="42" spans="1:11">
      <c r="A42" s="51" t="s">
        <v>23</v>
      </c>
      <c r="B42" s="73">
        <v>100</v>
      </c>
      <c r="C42" s="73">
        <v>100</v>
      </c>
      <c r="D42" s="73">
        <v>98.921971252566735</v>
      </c>
      <c r="E42" s="73">
        <v>99.950956351152527</v>
      </c>
      <c r="F42" s="73">
        <v>99.914346895074942</v>
      </c>
      <c r="G42" s="306">
        <f>GETPIVOTDATA("ATN",$A$15,"sost","Estatal","entidad","Tabasco","Año",2022)-GETPIVOTDATA("ATN",$A$15,"sost","Estatal","entidad","Tabasco","Año",2021)</f>
        <v>-3.6609456077584923E-2</v>
      </c>
      <c r="H42" s="306">
        <f>GETPIVOTDATA("ATN",$A$15,"sost","Estatal","entidad","Tabasco","Año",2022)-GETPIVOTDATA("ATN",$A$15,"sost","Estatal","entidad","Tabasco","Año",2018)</f>
        <v>-8.5653104925057733E-2</v>
      </c>
      <c r="I42" s="2"/>
      <c r="J42" s="2"/>
      <c r="K42" s="2"/>
    </row>
    <row r="43" spans="1:11">
      <c r="A43" s="51" t="s">
        <v>24</v>
      </c>
      <c r="B43" s="73">
        <v>89.712514092446455</v>
      </c>
      <c r="C43" s="73">
        <v>89.856347112283785</v>
      </c>
      <c r="D43" s="73">
        <v>87.797992471769135</v>
      </c>
      <c r="E43" s="73">
        <v>92.908827785817664</v>
      </c>
      <c r="F43" s="73">
        <v>91.754478398314006</v>
      </c>
      <c r="G43" s="307">
        <f>GETPIVOTDATA("ATN",$A$15,"sost","Estatal","entidad","Tamaulipas","Año",2022)-GETPIVOTDATA("ATN",$A$15,"sost","Estatal","entidad","Tamaulipas","Año",2021)</f>
        <v>-1.1543493875036575</v>
      </c>
      <c r="H43" s="307">
        <f>GETPIVOTDATA("ATN",$A$15,"sost","Estatal","entidad","Tamaulipas","Año",2022)-GETPIVOTDATA("ATN",$A$15,"sost","Estatal","entidad","Tamaulipas","Año",2018)</f>
        <v>2.0419643058675518</v>
      </c>
      <c r="I43" s="2"/>
      <c r="J43" s="2"/>
      <c r="K43" s="2"/>
    </row>
    <row r="44" spans="1:11">
      <c r="A44" s="51" t="s">
        <v>25</v>
      </c>
      <c r="B44" s="73">
        <v>84.233261339092863</v>
      </c>
      <c r="C44" s="73">
        <v>85.536888239590951</v>
      </c>
      <c r="D44" s="73">
        <v>89.898989898989896</v>
      </c>
      <c r="E44" s="73">
        <v>92.951907131011609</v>
      </c>
      <c r="F44" s="73">
        <v>90.366642703091301</v>
      </c>
      <c r="G44" s="306">
        <f>GETPIVOTDATA("ATN",$A$15,"sost","Estatal","entidad","Tlaxcala","Año",2022)-GETPIVOTDATA("ATN",$A$15,"sost","Estatal","entidad","Tlaxcala","Año",2021)</f>
        <v>-2.5852644279203076</v>
      </c>
      <c r="H44" s="306">
        <f>GETPIVOTDATA("ATN",$A$15,"sost","Estatal","entidad","Tlaxcala","Año",2022)-GETPIVOTDATA("ATN",$A$15,"sost","Estatal","entidad","Tlaxcala","Año",2018)</f>
        <v>6.1333813639984385</v>
      </c>
      <c r="I44" s="2"/>
      <c r="J44" s="2"/>
      <c r="K44" s="2"/>
    </row>
    <row r="45" spans="1:11">
      <c r="A45" s="51" t="s">
        <v>53</v>
      </c>
      <c r="B45" s="73">
        <v>75.657591139824646</v>
      </c>
      <c r="C45" s="73">
        <v>79.637912673056448</v>
      </c>
      <c r="D45" s="73">
        <v>83.588836477987414</v>
      </c>
      <c r="E45" s="73">
        <v>83.81260712245286</v>
      </c>
      <c r="F45" s="73">
        <v>78.394962053931863</v>
      </c>
      <c r="G45" s="307">
        <f>GETPIVOTDATA("ATN",$A$15,"sost","Estatal","entidad","Veracruz llave","Año",2022)-GETPIVOTDATA("ATN",$A$15,"sost","Estatal","entidad","Veracruz llave","Año",2021)</f>
        <v>-5.4176450685209971</v>
      </c>
      <c r="H45" s="307">
        <f>GETPIVOTDATA("ATN",$A$15,"sost","Estatal","entidad","Veracruz llave","Año",2022)-GETPIVOTDATA("ATN",$A$15,"sost","Estatal","entidad","Veracruz llave","Año",2018)</f>
        <v>2.7373709141072169</v>
      </c>
      <c r="I45" s="2"/>
      <c r="J45" s="2"/>
      <c r="K45" s="2"/>
    </row>
    <row r="46" spans="1:11">
      <c r="A46" s="51" t="s">
        <v>26</v>
      </c>
      <c r="B46" s="73">
        <v>76.845906902086682</v>
      </c>
      <c r="C46" s="73">
        <v>83.465885307660102</v>
      </c>
      <c r="D46" s="73">
        <v>97.482837528604122</v>
      </c>
      <c r="E46" s="73">
        <v>91.467889908256879</v>
      </c>
      <c r="F46" s="73">
        <v>92.028380634390643</v>
      </c>
      <c r="G46" s="306">
        <f>GETPIVOTDATA("ATN",$A$15,"sost","Estatal","entidad","Yucatán","Año",2022)-GETPIVOTDATA("ATN",$A$15,"sost","Estatal","entidad","Yucatán","Año",2021)</f>
        <v>0.56049072613376438</v>
      </c>
      <c r="H46" s="306">
        <f>GETPIVOTDATA("ATN",$A$15,"sost","Estatal","entidad","Yucatán","Año",2022)-GETPIVOTDATA("ATN",$A$15,"sost","Estatal","entidad","Yucatán","Año",2018)</f>
        <v>15.182473732303961</v>
      </c>
      <c r="I46" s="2"/>
      <c r="J46" s="2"/>
      <c r="K46" s="2"/>
    </row>
    <row r="47" spans="1:11">
      <c r="A47" s="51" t="s">
        <v>27</v>
      </c>
      <c r="B47" s="73">
        <v>92.250372578241439</v>
      </c>
      <c r="C47" s="73">
        <v>87.517934002869438</v>
      </c>
      <c r="D47" s="73">
        <v>80</v>
      </c>
      <c r="E47" s="73">
        <v>91.237830319888729</v>
      </c>
      <c r="F47" s="73">
        <v>85.070785070785064</v>
      </c>
      <c r="G47" s="307">
        <f>GETPIVOTDATA("ATN",$A$15,"sost","Estatal","entidad","Zacatecas","Año",2022)-GETPIVOTDATA("ATN",$A$15,"sost","Estatal","entidad","Zacatecas","Año",2021)</f>
        <v>-6.1670452491036656</v>
      </c>
      <c r="H47" s="307">
        <f>GETPIVOTDATA("ATN",$A$15,"sost","Estatal","entidad","Zacatecas","Año",2022)-GETPIVOTDATA("ATN",$A$15,"sost","Estatal","entidad","Zacatecas","Año",2018)</f>
        <v>-7.1795875074563753</v>
      </c>
      <c r="I47" s="2"/>
      <c r="J47" s="2"/>
      <c r="K47" s="2"/>
    </row>
    <row r="48" spans="1:11">
      <c r="A48" s="49" t="s">
        <v>50</v>
      </c>
      <c r="B48" s="86">
        <v>75.107778140057235</v>
      </c>
      <c r="C48" s="86">
        <v>78.147439829682824</v>
      </c>
      <c r="D48" s="86">
        <v>80.153880968544925</v>
      </c>
      <c r="E48" s="86">
        <v>83.541430192962537</v>
      </c>
      <c r="F48" s="86">
        <v>81.671148212064054</v>
      </c>
      <c r="G48" s="308">
        <f>GETPIVOTDATA("ATN",$A$15,"sost","Federal","Año",2022)-GETPIVOTDATA("ATN",$A$15,"sost","Federal","Año",2021)</f>
        <v>-1.8702819808984827</v>
      </c>
      <c r="H48" s="308">
        <f>GETPIVOTDATA("ATN",$A$15,"sost","Federal","Año",2022)-GETPIVOTDATA("ATN",$A$15,"sost","Federal","Año",2018)</f>
        <v>6.5633700720068191</v>
      </c>
      <c r="I48" s="2"/>
      <c r="J48" s="2"/>
      <c r="K48" s="2"/>
    </row>
    <row r="49" spans="1:11">
      <c r="A49" s="51" t="s">
        <v>32</v>
      </c>
      <c r="B49" s="73">
        <v>74.494969818913475</v>
      </c>
      <c r="C49" s="73">
        <v>77.516435950835074</v>
      </c>
      <c r="D49" s="73">
        <v>79.85580819930891</v>
      </c>
      <c r="E49" s="73">
        <v>83.52488531544418</v>
      </c>
      <c r="F49" s="73">
        <v>80.951939994443933</v>
      </c>
      <c r="G49" s="307">
        <f>GETPIVOTDATA("ATN",$A$15,"sost","Federal","entidad","Ciudad de México","Año",2022)-GETPIVOTDATA("ATN",$A$15,"sost","Federal","entidad","Ciudad de México","Año",2021)</f>
        <v>-2.5729453210002475</v>
      </c>
      <c r="H49" s="307">
        <f>GETPIVOTDATA("ATN",$A$15,"sost","Federal","entidad","Ciudad de México","Año",2022)-GETPIVOTDATA("ATN",$A$15,"sost","Federal","entidad","Ciudad de México","Año",2018)</f>
        <v>6.4569701755304578</v>
      </c>
      <c r="I49" s="2"/>
      <c r="J49" s="2"/>
      <c r="K49" s="2"/>
    </row>
    <row r="50" spans="1:11">
      <c r="A50" s="51" t="s">
        <v>28</v>
      </c>
      <c r="B50" s="73">
        <v>80.63930257900472</v>
      </c>
      <c r="C50" s="73">
        <v>82.940446650124073</v>
      </c>
      <c r="D50" s="73">
        <v>82.427595183859424</v>
      </c>
      <c r="E50" s="73">
        <v>83.668818837827573</v>
      </c>
      <c r="F50" s="73">
        <v>86.351310635733654</v>
      </c>
      <c r="G50" s="306">
        <f>GETPIVOTDATA("ATN",$A$15,"sost","Federal","entidad","Oaxaca","Año",2022)-GETPIVOTDATA("ATN",$A$15,"sost","Federal","entidad","Oaxaca","Año",2021)</f>
        <v>2.6824917979060814</v>
      </c>
      <c r="H50" s="306">
        <f>GETPIVOTDATA("ATN",$A$15,"sost","Federal","entidad","Oaxaca","Año",2022)-GETPIVOTDATA("ATN",$A$15,"sost","Federal","entidad","Oaxaca","Año",2018)</f>
        <v>5.7120080567289335</v>
      </c>
      <c r="I50" s="2"/>
      <c r="J50" s="2"/>
      <c r="K50" s="2"/>
    </row>
    <row r="51" spans="1:11">
      <c r="A51" s="51" t="s">
        <v>39</v>
      </c>
      <c r="B51" s="73">
        <v>0</v>
      </c>
      <c r="C51" s="73">
        <v>0</v>
      </c>
      <c r="D51" s="73">
        <v>0</v>
      </c>
      <c r="E51" s="73">
        <v>0</v>
      </c>
      <c r="F51" s="73">
        <v>0</v>
      </c>
      <c r="G51" s="307">
        <f>GETPIVOTDATA("ATN",$A$15,"sost","Federal","entidad","Oficinas Nacionales","Año",2022)-GETPIVOTDATA("ATN",$A$15,"sost","Federal","entidad","Oficinas Nacionales","Año",2021)</f>
        <v>0</v>
      </c>
      <c r="H51" s="307">
        <f>GETPIVOTDATA("ATN",$A$15,"sost","Federal","entidad","Oficinas Nacionales","Año",2022)-GETPIVOTDATA("ATN",$A$15,"sost","Federal","entidad","Oficinas Nacionales","Año",2018)</f>
        <v>0</v>
      </c>
    </row>
    <row r="52" spans="1:11" hidden="1">
      <c r="A52" s="49" t="s">
        <v>124</v>
      </c>
      <c r="B52" s="73">
        <v>0</v>
      </c>
      <c r="C52" s="73">
        <v>0</v>
      </c>
      <c r="D52" s="73">
        <v>0</v>
      </c>
      <c r="E52" s="73">
        <v>0</v>
      </c>
      <c r="F52" s="73">
        <v>0</v>
      </c>
      <c r="G52" s="308">
        <f>GETPIVOTDATA("ATN",$A$15,"sost","Otro","Año",2022)-GETPIVOTDATA("ATN",$A$15,"sost","Otro","Año",2021)</f>
        <v>0</v>
      </c>
      <c r="H52" s="308">
        <f>GETPIVOTDATA("ATN",$A$15,"sost","Otro","Año",2022)-GETPIVOTDATA("ATN",$A$15,"sost","Otro","Año",2018)</f>
        <v>0</v>
      </c>
    </row>
    <row r="53" spans="1:11" hidden="1">
      <c r="A53" s="51" t="s">
        <v>40</v>
      </c>
      <c r="B53" s="73">
        <v>0</v>
      </c>
      <c r="C53" s="73">
        <v>0</v>
      </c>
      <c r="D53" s="73">
        <v>0</v>
      </c>
      <c r="E53" s="73">
        <v>0</v>
      </c>
      <c r="F53" s="73">
        <v>0</v>
      </c>
      <c r="G53" s="307">
        <f>GETPIVOTDATA("ATN",$A$15,"sost","Otro","entidad","Otros","Año",2022)-GETPIVOTDATA("ATN",$A$15,"sost","Otro","entidad","Otros","Año",2021)</f>
        <v>0</v>
      </c>
      <c r="H53" s="307">
        <f>GETPIVOTDATA("ATN",$A$15,"sost","Otro","entidad","Otros","Año",2022)-GETPIVOTDATA("ATN",$A$15,"sost","Otro","entidad","Otros","Año",2018)</f>
        <v>0</v>
      </c>
    </row>
    <row r="54" spans="1:11" hidden="1">
      <c r="A54" s="49" t="s">
        <v>37</v>
      </c>
      <c r="B54" s="73">
        <v>81.04278601558201</v>
      </c>
      <c r="C54" s="73">
        <v>85.679834554313146</v>
      </c>
      <c r="D54" s="73">
        <v>86.388435835630673</v>
      </c>
      <c r="E54" s="73">
        <v>88.471603313694416</v>
      </c>
      <c r="F54" s="73">
        <v>86.481377068753943</v>
      </c>
      <c r="G54" s="309">
        <f>GETPIVOTDATA("ATN",$A$15,"Año",2022)-GETPIVOTDATA("ATN",$A$15,"Año",2021)</f>
        <v>-1.9902262449404731</v>
      </c>
      <c r="H54" s="309">
        <f>GETPIVOTDATA("ATN",$A$15,"Año",2022)-GETPIVOTDATA("ATN",$A$15,"Año",2018)</f>
        <v>5.4385910531719333</v>
      </c>
    </row>
    <row r="56" spans="1:11" ht="24" customHeight="1">
      <c r="A56" s="182" t="s">
        <v>43</v>
      </c>
      <c r="B56" s="85"/>
      <c r="C56" s="85"/>
      <c r="D56" s="85"/>
      <c r="E56" s="85"/>
      <c r="F56" s="85"/>
      <c r="G56" s="85"/>
      <c r="H56" s="85"/>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5" orientation="portrait"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62"/>
  <sheetViews>
    <sheetView showGridLines="0" view="pageBreakPreview" topLeftCell="A37" zoomScale="115" zoomScaleNormal="120" zoomScaleSheetLayoutView="115" workbookViewId="0">
      <selection activeCell="L39" sqref="L39"/>
    </sheetView>
  </sheetViews>
  <sheetFormatPr baseColWidth="10" defaultColWidth="11.42578125" defaultRowHeight="13.5"/>
  <cols>
    <col min="1" max="1" width="23.5703125" style="48" customWidth="1"/>
    <col min="2" max="8" width="9.5703125" style="48" customWidth="1"/>
    <col min="9" max="9" width="8.42578125" style="48" customWidth="1"/>
    <col min="10" max="10" width="20.140625" style="48" bestFit="1" customWidth="1"/>
    <col min="11" max="11" width="16.5703125" style="48" bestFit="1" customWidth="1"/>
    <col min="12" max="16384" width="11.42578125" style="48"/>
  </cols>
  <sheetData>
    <row r="1" spans="1:9" s="3" customFormat="1" ht="15" customHeight="1">
      <c r="B1" s="1"/>
      <c r="C1" s="1"/>
      <c r="D1" s="1"/>
      <c r="E1" s="1"/>
      <c r="H1" s="64" t="s">
        <v>48</v>
      </c>
    </row>
    <row r="2" spans="1:9" s="3" customFormat="1" ht="15" customHeight="1">
      <c r="B2" s="1"/>
      <c r="C2" s="1"/>
      <c r="D2" s="1"/>
      <c r="E2" s="1"/>
      <c r="H2" s="6" t="s">
        <v>42</v>
      </c>
    </row>
    <row r="3" spans="1:9" s="3" customFormat="1" ht="15" customHeight="1">
      <c r="B3" s="1"/>
      <c r="C3" s="1"/>
      <c r="D3" s="1"/>
      <c r="E3" s="1"/>
      <c r="F3" s="1"/>
    </row>
    <row r="4" spans="1:9" s="3" customFormat="1" ht="6" customHeight="1">
      <c r="B4" s="1"/>
      <c r="C4" s="1"/>
      <c r="D4" s="1"/>
      <c r="E4" s="1"/>
      <c r="F4" s="1"/>
    </row>
    <row r="5" spans="1:9" s="3" customFormat="1" ht="15" customHeight="1">
      <c r="A5" s="367" t="s">
        <v>160</v>
      </c>
      <c r="B5" s="367"/>
      <c r="C5" s="367"/>
      <c r="D5" s="367"/>
      <c r="E5" s="367"/>
      <c r="F5" s="367"/>
      <c r="G5" s="367"/>
      <c r="H5" s="367"/>
    </row>
    <row r="6" spans="1:9" s="3" customFormat="1" ht="8.1" customHeight="1">
      <c r="A6" s="5"/>
      <c r="B6" s="63"/>
      <c r="C6" s="65"/>
      <c r="D6" s="65"/>
      <c r="E6" s="66"/>
      <c r="F6" s="66"/>
    </row>
    <row r="7" spans="1:9" s="68" customFormat="1" ht="15" customHeight="1">
      <c r="A7" s="76" t="s">
        <v>45</v>
      </c>
      <c r="B7" s="76" t="s">
        <v>0</v>
      </c>
      <c r="C7" s="67"/>
      <c r="D7" s="67"/>
      <c r="E7" s="63"/>
      <c r="F7" s="63"/>
    </row>
    <row r="8" spans="1:9" s="68" customFormat="1" ht="14.1" customHeight="1">
      <c r="A8" s="77">
        <v>2018</v>
      </c>
      <c r="B8" s="78">
        <f>$B$54</f>
        <v>5.7563120080126753</v>
      </c>
      <c r="C8" s="69"/>
      <c r="D8" s="67"/>
      <c r="E8" s="63"/>
      <c r="F8" s="63"/>
    </row>
    <row r="9" spans="1:9" s="68" customFormat="1" ht="14.1" customHeight="1">
      <c r="A9" s="77">
        <v>2019</v>
      </c>
      <c r="B9" s="78">
        <f>$C$54</f>
        <v>6.2618384857804967</v>
      </c>
      <c r="C9" s="67"/>
      <c r="D9" s="67"/>
      <c r="E9" s="63"/>
      <c r="F9" s="63"/>
    </row>
    <row r="10" spans="1:9" s="68" customFormat="1" ht="14.1" customHeight="1">
      <c r="A10" s="77">
        <v>2020</v>
      </c>
      <c r="B10" s="78">
        <f>$D$54</f>
        <v>6.1427280475920947</v>
      </c>
      <c r="C10" s="67"/>
      <c r="D10" s="67"/>
      <c r="E10" s="63"/>
      <c r="F10" s="63"/>
    </row>
    <row r="11" spans="1:9" s="68" customFormat="1" ht="14.1" customHeight="1">
      <c r="A11" s="77">
        <v>2021</v>
      </c>
      <c r="B11" s="78">
        <f>$E$54</f>
        <v>5.8313559384679063</v>
      </c>
      <c r="C11" s="67"/>
      <c r="D11" s="67"/>
      <c r="E11" s="63"/>
      <c r="F11" s="63"/>
    </row>
    <row r="12" spans="1:9" s="68" customFormat="1" ht="14.1" customHeight="1">
      <c r="A12" s="77">
        <v>2022</v>
      </c>
      <c r="B12" s="78">
        <f>$F$54</f>
        <v>6.3773420070076163</v>
      </c>
      <c r="C12" s="67"/>
      <c r="D12" s="67"/>
      <c r="E12" s="63"/>
      <c r="F12" s="63"/>
    </row>
    <row r="13" spans="1:9" s="68" customFormat="1" ht="15" customHeight="1">
      <c r="A13" s="79" t="s">
        <v>314</v>
      </c>
      <c r="B13" s="78">
        <f>B12-B11</f>
        <v>0.54598606853970999</v>
      </c>
      <c r="C13" s="67"/>
      <c r="D13" s="67"/>
      <c r="E13" s="63"/>
      <c r="F13" s="63"/>
    </row>
    <row r="14" spans="1:9" s="3" customFormat="1" ht="15.75" customHeight="1">
      <c r="A14" s="71"/>
      <c r="B14" s="365"/>
      <c r="C14" s="365"/>
      <c r="D14" s="365"/>
      <c r="E14" s="366"/>
      <c r="F14" s="366"/>
    </row>
    <row r="15" spans="1:9" hidden="1">
      <c r="A15" s="83" t="s">
        <v>161</v>
      </c>
      <c r="B15" s="47" t="s">
        <v>45</v>
      </c>
      <c r="G15" s="311"/>
      <c r="H15" s="311"/>
      <c r="I15" s="2"/>
    </row>
    <row r="16" spans="1:9" ht="27">
      <c r="A16" s="47" t="s">
        <v>156</v>
      </c>
      <c r="B16" s="48">
        <v>2018</v>
      </c>
      <c r="C16" s="48">
        <v>2019</v>
      </c>
      <c r="D16" s="48">
        <v>2020</v>
      </c>
      <c r="E16" s="48">
        <v>2021</v>
      </c>
      <c r="F16" s="48">
        <v>2022</v>
      </c>
      <c r="G16" s="313" t="s">
        <v>331</v>
      </c>
      <c r="H16" s="313" t="s">
        <v>332</v>
      </c>
      <c r="I16" s="2"/>
    </row>
    <row r="17" spans="1:9">
      <c r="A17" s="49" t="s">
        <v>49</v>
      </c>
      <c r="B17" s="74">
        <v>5.2914454964474098</v>
      </c>
      <c r="C17" s="74">
        <v>5.742169120502127</v>
      </c>
      <c r="D17" s="74">
        <v>5.6384514059904935</v>
      </c>
      <c r="E17" s="74">
        <v>5.4623320296969178</v>
      </c>
      <c r="F17" s="74">
        <v>5.990725197635399</v>
      </c>
      <c r="G17" s="319">
        <f>GETPIVOTDATA("ABS",$A$15,"sost","Estatal","Año",2022)-GETPIVOTDATA("ABS",$A$15,"sost","Estatal","Año",2021)</f>
        <v>0.52839316793848123</v>
      </c>
      <c r="H17" s="314">
        <f>GETPIVOTDATA("ABS",$A$15,"sost","Estatal","Año",2022)-GETPIVOTDATA("ABS",$A$15,"sost","Estatal","Año",2022)</f>
        <v>0</v>
      </c>
      <c r="I17" s="2"/>
    </row>
    <row r="18" spans="1:9">
      <c r="A18" s="51" t="s">
        <v>1</v>
      </c>
      <c r="B18" s="74">
        <v>7.7459298326071995</v>
      </c>
      <c r="C18" s="74">
        <v>7.7893424145042927</v>
      </c>
      <c r="D18" s="74">
        <v>7.88051076521577</v>
      </c>
      <c r="E18" s="74">
        <v>6.8243739999135062</v>
      </c>
      <c r="F18" s="74">
        <v>7.1022013894701601</v>
      </c>
      <c r="G18" s="315">
        <f>GETPIVOTDATA("ABS",$A$15,"sost","Estatal","entidad","Aguascalientes","Año",2022)-GETPIVOTDATA("ABS",$A$15,"sost","Estatal","entidad","Aguascalientes","Año",2021)</f>
        <v>0.27782738955665387</v>
      </c>
      <c r="H18" s="315">
        <f>GETPIVOTDATA("ABS",$A$15,"sost","Estatal","entidad","Aguascalientes","Año",2022)-GETPIVOTDATA("ABS",$A$15,"sost","Estatal","entidad","Aguascalientes","Año",2018)</f>
        <v>-0.64372844313703936</v>
      </c>
      <c r="I18" s="2"/>
    </row>
    <row r="19" spans="1:9">
      <c r="A19" s="51" t="s">
        <v>3</v>
      </c>
      <c r="B19" s="74">
        <v>5.8357973760158641</v>
      </c>
      <c r="C19" s="74">
        <v>6.3823145989020071</v>
      </c>
      <c r="D19" s="74">
        <v>5.9064433927921369</v>
      </c>
      <c r="E19" s="74">
        <v>5.6011434336640322</v>
      </c>
      <c r="F19" s="74">
        <v>6.5915888318935991</v>
      </c>
      <c r="G19" s="316">
        <f>GETPIVOTDATA("ABS",$A$15,"sost","Estatal","entidad","Baja California","Año",2022)-GETPIVOTDATA("ABS",$A$15,"sost","Estatal","entidad","Baja California","Año",2021)</f>
        <v>0.9904453982295669</v>
      </c>
      <c r="H19" s="316">
        <f>GETPIVOTDATA("ABS",$A$15,"sost","Estatal","entidad","Baja California","Año",2022)-GETPIVOTDATA("ABS",$A$15,"sost","Estatal","entidad","Baja California","Año",2018)</f>
        <v>0.755791455877735</v>
      </c>
      <c r="I19" s="2"/>
    </row>
    <row r="20" spans="1:9">
      <c r="A20" s="51" t="s">
        <v>4</v>
      </c>
      <c r="B20" s="74">
        <v>5.6910569105691051</v>
      </c>
      <c r="C20" s="74">
        <v>4.9867461895294891</v>
      </c>
      <c r="D20" s="74">
        <v>4.3771323957726551</v>
      </c>
      <c r="E20" s="74">
        <v>5.5033765427307308</v>
      </c>
      <c r="F20" s="74">
        <v>5.507201725333128</v>
      </c>
      <c r="G20" s="315">
        <f>GETPIVOTDATA("ABS",$A$15,"sost","Estatal","entidad","Baja California Sur","Año",2022)-GETPIVOTDATA("ABS",$A$15,"sost","Estatal","entidad","Baja California Sur","Año",2021)</f>
        <v>3.8251826023971702E-3</v>
      </c>
      <c r="H20" s="315">
        <f>GETPIVOTDATA("ABS",$A$15,"sost","Estatal","entidad","Baja California Sur","Año",2022)-GETPIVOTDATA("ABS",$A$15,"sost","Estatal","entidad","Baja California Sur","Año",2018)</f>
        <v>-0.1838551852359771</v>
      </c>
      <c r="I20" s="2"/>
    </row>
    <row r="21" spans="1:9">
      <c r="A21" s="51" t="s">
        <v>5</v>
      </c>
      <c r="B21" s="74">
        <v>5.3842520747587885</v>
      </c>
      <c r="C21" s="74">
        <v>5.6639019651797051</v>
      </c>
      <c r="D21" s="74">
        <v>5.289536587246511</v>
      </c>
      <c r="E21" s="74">
        <v>5.4541712403951701</v>
      </c>
      <c r="F21" s="74">
        <v>6.1809045226130657</v>
      </c>
      <c r="G21" s="316">
        <f>GETPIVOTDATA("ABS",$A$15,"sost","Estatal","entidad","Campeche","Año",2022)-GETPIVOTDATA("ABS",$A$15,"sost","Estatal","entidad","Campeche","Año",2021)</f>
        <v>0.72673328221789557</v>
      </c>
      <c r="H21" s="316">
        <f>GETPIVOTDATA("ABS",$A$15,"sost","Estatal","entidad","Campeche","Año",2022)-GETPIVOTDATA("ABS",$A$15,"sost","Estatal","entidad","Campeche","Año",2018)</f>
        <v>0.79665244785427713</v>
      </c>
      <c r="I21" s="2"/>
    </row>
    <row r="22" spans="1:9">
      <c r="A22" s="51" t="s">
        <v>6</v>
      </c>
      <c r="B22" s="74">
        <v>2.6881488356031338</v>
      </c>
      <c r="C22" s="74">
        <v>2.6866134065107223</v>
      </c>
      <c r="D22" s="74">
        <v>3.2555863643777521</v>
      </c>
      <c r="E22" s="74">
        <v>4.1360145622179374</v>
      </c>
      <c r="F22" s="74">
        <v>3.6063446133551773</v>
      </c>
      <c r="G22" s="315">
        <f>GETPIVOTDATA("ABS",$A$15,"sost","Estatal","entidad","Chiapas","Año",2022)-GETPIVOTDATA("ABS",$A$15,"sost","Estatal","entidad","Chiapas","Año",2021)</f>
        <v>-0.52966994886276009</v>
      </c>
      <c r="H22" s="315">
        <f>GETPIVOTDATA("ABS",$A$15,"sost","Estatal","entidad","Chiapas","Año",2022)-GETPIVOTDATA("ABS",$A$15,"sost","Estatal","entidad","Chiapas","Año",2018)</f>
        <v>0.91819577775204353</v>
      </c>
      <c r="I22" s="2"/>
    </row>
    <row r="23" spans="1:9">
      <c r="A23" s="51" t="s">
        <v>7</v>
      </c>
      <c r="B23" s="74">
        <v>6.0804796075937873</v>
      </c>
      <c r="C23" s="74">
        <v>6.9952245933442763</v>
      </c>
      <c r="D23" s="74">
        <v>6.4073757044011694</v>
      </c>
      <c r="E23" s="74">
        <v>5.8612010068320748</v>
      </c>
      <c r="F23" s="74">
        <v>7.3019315699310043</v>
      </c>
      <c r="G23" s="316">
        <f>GETPIVOTDATA("ABS",$A$15,"sost","Estatal","entidad","Chihuahua","Año",2022)-GETPIVOTDATA("ABS",$A$15,"sost","Estatal","entidad","Chihuahua","Año",2021)</f>
        <v>1.4407305630989296</v>
      </c>
      <c r="H23" s="316">
        <f>GETPIVOTDATA("ABS",$A$15,"sost","Estatal","entidad","Chihuahua","Año",2022)-GETPIVOTDATA("ABS",$A$15,"sost","Estatal","entidad","Chihuahua","Año",2018)</f>
        <v>1.2214519623372171</v>
      </c>
      <c r="I23" s="2"/>
    </row>
    <row r="24" spans="1:9">
      <c r="A24" s="51" t="s">
        <v>31</v>
      </c>
      <c r="B24" s="74">
        <v>6.665657483096175</v>
      </c>
      <c r="C24" s="74">
        <v>7.8369510348308937</v>
      </c>
      <c r="D24" s="74">
        <v>8.505397532556545</v>
      </c>
      <c r="E24" s="74">
        <v>7.4479914279360333</v>
      </c>
      <c r="F24" s="74">
        <v>7.792514463379117</v>
      </c>
      <c r="G24" s="315">
        <f>GETPIVOTDATA("ABS",$A$15,"sost","Estatal","entidad","Coahuila de Zaragoza","Año",2022)-GETPIVOTDATA("ABS",$A$15,"sost","Estatal","entidad","Coahuila de Zaragoza","Año",2021)</f>
        <v>0.34452303544308371</v>
      </c>
      <c r="H24" s="315">
        <f>GETPIVOTDATA("ABS",$A$15,"sost","Estatal","entidad","Coahuila de Zaragoza","Año",2022)-GETPIVOTDATA("ABS",$A$15,"sost","Estatal","entidad","Coahuila de Zaragoza","Año",2018)</f>
        <v>1.126856980282942</v>
      </c>
      <c r="I24" s="2"/>
    </row>
    <row r="25" spans="1:9">
      <c r="A25" s="51" t="s">
        <v>8</v>
      </c>
      <c r="B25" s="74">
        <v>7.5935509554140124</v>
      </c>
      <c r="C25" s="74">
        <v>6.9929437307761892</v>
      </c>
      <c r="D25" s="74">
        <v>6.9215876089060995</v>
      </c>
      <c r="E25" s="74">
        <v>6.1993627674101051</v>
      </c>
      <c r="F25" s="74">
        <v>6.8207126948775052</v>
      </c>
      <c r="G25" s="316">
        <f>GETPIVOTDATA("ABS",$A$15,"sost","Estatal","entidad","Colima","Año",2022)-GETPIVOTDATA("ABS",$A$15,"sost","Estatal","entidad","Colima","Año",2021)</f>
        <v>0.62134992746740014</v>
      </c>
      <c r="H25" s="316">
        <f>GETPIVOTDATA("ABS",$A$15,"sost","Estatal","entidad","Colima","Año",2022)-GETPIVOTDATA("ABS",$A$15,"sost","Estatal","entidad","Colima","Año",2018)</f>
        <v>-0.77283826053650717</v>
      </c>
      <c r="I25" s="2"/>
    </row>
    <row r="26" spans="1:9">
      <c r="A26" s="51" t="s">
        <v>9</v>
      </c>
      <c r="B26" s="74">
        <v>2.3044757627381136</v>
      </c>
      <c r="C26" s="74">
        <v>2.6339991906706399</v>
      </c>
      <c r="D26" s="74">
        <v>2.1990699015826092</v>
      </c>
      <c r="E26" s="74">
        <v>2.4852844996729888</v>
      </c>
      <c r="F26" s="74">
        <v>2.803576379262545</v>
      </c>
      <c r="G26" s="315">
        <f>GETPIVOTDATA("ABS",$A$15,"sost","Estatal","entidad","Durango","Año",2022)-GETPIVOTDATA("ABS",$A$15,"sost","Estatal","entidad","Durango","Año",2021)</f>
        <v>0.31829187958955618</v>
      </c>
      <c r="H26" s="315">
        <f>GETPIVOTDATA("ABS",$A$15,"sost","Estatal","entidad","Durango","Año",2022)-GETPIVOTDATA("ABS",$A$15,"sost","Estatal","entidad","Durango","Año",2018)</f>
        <v>0.49910061652443138</v>
      </c>
      <c r="I26" s="2"/>
    </row>
    <row r="27" spans="1:9">
      <c r="A27" s="51" t="s">
        <v>10</v>
      </c>
      <c r="B27" s="74">
        <v>5.516840400348852</v>
      </c>
      <c r="C27" s="74">
        <v>6.8938217166908862</v>
      </c>
      <c r="D27" s="74">
        <v>6.6796922701184522</v>
      </c>
      <c r="E27" s="74">
        <v>6.2861770086674857</v>
      </c>
      <c r="F27" s="74">
        <v>6.7831051812495655</v>
      </c>
      <c r="G27" s="316">
        <f>GETPIVOTDATA("ABS",$A$15,"sost","Estatal","entidad","Guanajuato","Año",2022)-GETPIVOTDATA("ABS",$A$15,"sost","Estatal","entidad","Guanajuato","Año",2021)</f>
        <v>0.49692817258207977</v>
      </c>
      <c r="H27" s="316">
        <f>GETPIVOTDATA("ABS",$A$15,"sost","Estatal","entidad","Guanajuato","Año",2022)-GETPIVOTDATA("ABS",$A$15,"sost","Estatal","entidad","Guanajuato","Año",2018)</f>
        <v>1.2662647809007135</v>
      </c>
      <c r="I27" s="2"/>
    </row>
    <row r="28" spans="1:9">
      <c r="A28" s="51" t="s">
        <v>11</v>
      </c>
      <c r="B28" s="74">
        <v>3.6370282372292793</v>
      </c>
      <c r="C28" s="74">
        <v>3.9809599103995783</v>
      </c>
      <c r="D28" s="74">
        <v>3.6605139459848992</v>
      </c>
      <c r="E28" s="74">
        <v>4.0358153927184146</v>
      </c>
      <c r="F28" s="74">
        <v>4.12905382815112</v>
      </c>
      <c r="G28" s="315">
        <f>GETPIVOTDATA("ABS",$A$15,"sost","Estatal","entidad","Guerrero","Año",2022)-GETPIVOTDATA("ABS",$A$15,"sost","Estatal","entidad","Guerrero","Año",2021)</f>
        <v>9.323843543270538E-2</v>
      </c>
      <c r="H28" s="315">
        <f>GETPIVOTDATA("ABS",$A$15,"sost","Estatal","entidad","Guerrero","Año",2022)-GETPIVOTDATA("ABS",$A$15,"sost","Estatal","entidad","Guerrero","Año",2018)</f>
        <v>0.49202559092184073</v>
      </c>
      <c r="I28" s="2"/>
    </row>
    <row r="29" spans="1:9">
      <c r="A29" s="51" t="s">
        <v>12</v>
      </c>
      <c r="B29" s="74">
        <v>2.6445573483706473</v>
      </c>
      <c r="C29" s="74">
        <v>2.803858995406836</v>
      </c>
      <c r="D29" s="74">
        <v>2.7983202645954885</v>
      </c>
      <c r="E29" s="74">
        <v>2.5691806348234705</v>
      </c>
      <c r="F29" s="74">
        <v>2.8594667871667419</v>
      </c>
      <c r="G29" s="316">
        <f>GETPIVOTDATA("ABS",$A$15,"sost","Estatal","entidad","Hidalgo","Año",2022)-GETPIVOTDATA("ABS",$A$15,"sost","Estatal","entidad","Hidalgo","Año",2021)</f>
        <v>0.29028615234327138</v>
      </c>
      <c r="H29" s="316">
        <f>GETPIVOTDATA("ABS",$A$15,"sost","Estatal","entidad","Hidalgo","Año",2022)-GETPIVOTDATA("ABS",$A$15,"sost","Estatal","entidad","Hidalgo","Año",2018)</f>
        <v>0.21490943879609459</v>
      </c>
      <c r="I29" s="2"/>
    </row>
    <row r="30" spans="1:9">
      <c r="A30" s="51" t="s">
        <v>13</v>
      </c>
      <c r="B30" s="74">
        <v>4.0883347171154076</v>
      </c>
      <c r="C30" s="74">
        <v>4.2613727438848459</v>
      </c>
      <c r="D30" s="74">
        <v>4.1980969482232036</v>
      </c>
      <c r="E30" s="74">
        <v>3.481086800438348</v>
      </c>
      <c r="F30" s="74">
        <v>3.9001583144687588</v>
      </c>
      <c r="G30" s="315">
        <f>GETPIVOTDATA("ABS",$A$15,"sost","Estatal","entidad","Jalisco","Año",2022)-GETPIVOTDATA("ABS",$A$15,"sost","Estatal","entidad","Jalisco","Año",2021)</f>
        <v>0.41907151403041087</v>
      </c>
      <c r="H30" s="315">
        <f>GETPIVOTDATA("ABS",$A$15,"sost","Estatal","entidad","Jalisco","Año",2022)-GETPIVOTDATA("ABS",$A$15,"sost","Estatal","entidad","Jalisco","Año",2018)</f>
        <v>-0.18817640264664881</v>
      </c>
      <c r="I30" s="2"/>
    </row>
    <row r="31" spans="1:9">
      <c r="A31" s="51" t="s">
        <v>14</v>
      </c>
      <c r="B31" s="74">
        <v>6.8325762445023797</v>
      </c>
      <c r="C31" s="74">
        <v>6.7544510915347162</v>
      </c>
      <c r="D31" s="74">
        <v>6.7763507672944145</v>
      </c>
      <c r="E31" s="74">
        <v>6.5032229590002597</v>
      </c>
      <c r="F31" s="74">
        <v>6.8496841810578619</v>
      </c>
      <c r="G31" s="316">
        <f>GETPIVOTDATA("ABS",$A$15,"sost","Estatal","entidad","México","Año",2022)-GETPIVOTDATA("ABS",$A$15,"sost","Estatal","entidad","México","Año",2021)</f>
        <v>0.34646122205760221</v>
      </c>
      <c r="H31" s="316">
        <f>GETPIVOTDATA("ABS",$A$15,"sost","Estatal","entidad","México","Año",2022)-GETPIVOTDATA("ABS",$A$15,"sost","Estatal","entidad","México","Año",2018)</f>
        <v>1.7107936555482262E-2</v>
      </c>
      <c r="I31" s="2"/>
    </row>
    <row r="32" spans="1:9">
      <c r="A32" s="51" t="s">
        <v>30</v>
      </c>
      <c r="B32" s="74">
        <v>6.7981979182849148</v>
      </c>
      <c r="C32" s="74">
        <v>6.9123490455784964</v>
      </c>
      <c r="D32" s="74">
        <v>6.7985777834468024</v>
      </c>
      <c r="E32" s="74">
        <v>5.9487312347971271</v>
      </c>
      <c r="F32" s="74">
        <v>7.3870084280288699</v>
      </c>
      <c r="G32" s="315">
        <f>GETPIVOTDATA("ABS",$A$15,"sost","Estatal","entidad","Michoacán de Ocampo","Año",2022)-GETPIVOTDATA("ABS",$A$15,"sost","Estatal","entidad","Michoacán de Ocampo","Año",2021)</f>
        <v>1.4382771932317429</v>
      </c>
      <c r="H32" s="315">
        <f>GETPIVOTDATA("ABS",$A$15,"sost","Estatal","entidad","Michoacán de Ocampo","Año",2022)-GETPIVOTDATA("ABS",$A$15,"sost","Estatal","entidad","Michoacán de Ocampo","Año",2018)</f>
        <v>0.5888105097439551</v>
      </c>
      <c r="I32" s="2"/>
    </row>
    <row r="33" spans="1:9">
      <c r="A33" s="51" t="s">
        <v>15</v>
      </c>
      <c r="B33" s="74">
        <v>5.9280667951188182</v>
      </c>
      <c r="C33" s="74">
        <v>6.167343197590677</v>
      </c>
      <c r="D33" s="74">
        <v>6.1005826022902294</v>
      </c>
      <c r="E33" s="74">
        <v>5.9377401998462718</v>
      </c>
      <c r="F33" s="74">
        <v>6.783405883128875</v>
      </c>
      <c r="G33" s="316">
        <f>GETPIVOTDATA("ABS",$A$15,"sost","Estatal","entidad","Morelos","Año",2022)-GETPIVOTDATA("ABS",$A$15,"sost","Estatal","entidad","Morelos","Año",2021)</f>
        <v>0.84566568328260328</v>
      </c>
      <c r="H33" s="316">
        <f>GETPIVOTDATA("ABS",$A$15,"sost","Estatal","entidad","Morelos","Año",2022)-GETPIVOTDATA("ABS",$A$15,"sost","Estatal","entidad","Morelos","Año",2018)</f>
        <v>0.85533908801005687</v>
      </c>
      <c r="I33" s="2"/>
    </row>
    <row r="34" spans="1:9">
      <c r="A34" s="51" t="s">
        <v>16</v>
      </c>
      <c r="B34" s="74">
        <v>5.9274236458444189</v>
      </c>
      <c r="C34" s="74">
        <v>7.3440807686044618</v>
      </c>
      <c r="D34" s="74">
        <v>6.5162378743146361</v>
      </c>
      <c r="E34" s="74">
        <v>6.4561686674064349</v>
      </c>
      <c r="F34" s="74">
        <v>7.796175832840528</v>
      </c>
      <c r="G34" s="315">
        <f>GETPIVOTDATA("ABS",$A$15,"sost","Estatal","entidad","Nayarit","Año",2022)-GETPIVOTDATA("ABS",$A$15,"sost","Estatal","entidad","Nayarit","Año",2021)</f>
        <v>1.340007165434093</v>
      </c>
      <c r="H34" s="315">
        <f>GETPIVOTDATA("ABS",$A$15,"sost","Estatal","entidad","Nayarit","Año",2022)-GETPIVOTDATA("ABS",$A$15,"sost","Estatal","entidad","Nayarit","Año",2018)</f>
        <v>1.868752186996109</v>
      </c>
      <c r="I34" s="2"/>
    </row>
    <row r="35" spans="1:9">
      <c r="A35" s="51" t="s">
        <v>17</v>
      </c>
      <c r="B35" s="74">
        <v>8.2541955317849691</v>
      </c>
      <c r="C35" s="74">
        <v>10.772045371386755</v>
      </c>
      <c r="D35" s="74">
        <v>9.0479211808506825</v>
      </c>
      <c r="E35" s="74">
        <v>9.9232271533436602</v>
      </c>
      <c r="F35" s="74">
        <v>10.208774126689409</v>
      </c>
      <c r="G35" s="316">
        <f>GETPIVOTDATA("ABS",$A$15,"sost","Estatal","entidad","Nuevo León","Año",2022)-GETPIVOTDATA("ABS",$A$15,"sost","Estatal","entidad","Nuevo León","Año",2021)</f>
        <v>0.28554697334574897</v>
      </c>
      <c r="H35" s="316">
        <f>GETPIVOTDATA("ABS",$A$15,"sost","Estatal","entidad","Nuevo León","Año",2022)-GETPIVOTDATA("ABS",$A$15,"sost","Estatal","entidad","Nuevo León","Año",2018)</f>
        <v>1.9545785949044401</v>
      </c>
      <c r="I35" s="2"/>
    </row>
    <row r="36" spans="1:9">
      <c r="A36" s="51" t="s">
        <v>18</v>
      </c>
      <c r="B36" s="74">
        <v>2.2838391037008803</v>
      </c>
      <c r="C36" s="74">
        <v>2.3911299918033513</v>
      </c>
      <c r="D36" s="74">
        <v>2.5700504436834937</v>
      </c>
      <c r="E36" s="74">
        <v>2.6574255292406588</v>
      </c>
      <c r="F36" s="74">
        <v>2.7238812793738454</v>
      </c>
      <c r="G36" s="315">
        <f>GETPIVOTDATA("ABS",$A$15,"sost","Estatal","entidad","Puebla","Año",2022)-GETPIVOTDATA("ABS",$A$15,"sost","Estatal","entidad","Puebla","Año",2021)</f>
        <v>6.6455750133186609E-2</v>
      </c>
      <c r="H36" s="315">
        <f>GETPIVOTDATA("ABS",$A$15,"sost","Estatal","entidad","Puebla","Año",2022)-GETPIVOTDATA("ABS",$A$15,"sost","Estatal","entidad","Puebla","Año",2018)</f>
        <v>0.44004217567296511</v>
      </c>
      <c r="I36" s="2"/>
    </row>
    <row r="37" spans="1:9">
      <c r="A37" s="51" t="s">
        <v>29</v>
      </c>
      <c r="B37" s="74">
        <v>4.0348517630547924</v>
      </c>
      <c r="C37" s="74">
        <v>4.2362390168785291</v>
      </c>
      <c r="D37" s="74">
        <v>4.3583881108888249</v>
      </c>
      <c r="E37" s="74">
        <v>4.3236682400539443</v>
      </c>
      <c r="F37" s="74">
        <v>4.3287876892280748</v>
      </c>
      <c r="G37" s="316">
        <f>GETPIVOTDATA("ABS",$A$15,"sost","Estatal","entidad","Querétaro de Arteaga","Año",2022)-GETPIVOTDATA("ABS",$A$15,"sost","Estatal","entidad","Querétaro de Arteaga","Año",2021)</f>
        <v>5.1194491741304304E-3</v>
      </c>
      <c r="H37" s="316">
        <f>GETPIVOTDATA("ABS",$A$15,"sost","Estatal","entidad","Querétaro de Arteaga","Año",2022)-GETPIVOTDATA("ABS",$A$15,"sost","Estatal","entidad","Querétaro de Arteaga","Año",2018)</f>
        <v>0.29393592617328235</v>
      </c>
      <c r="I37" s="2"/>
    </row>
    <row r="38" spans="1:9">
      <c r="A38" s="51" t="s">
        <v>19</v>
      </c>
      <c r="B38" s="74">
        <v>12.05175458803655</v>
      </c>
      <c r="C38" s="74">
        <v>12.409110995058851</v>
      </c>
      <c r="D38" s="74">
        <v>14.120946399652407</v>
      </c>
      <c r="E38" s="74">
        <v>12.550592913441738</v>
      </c>
      <c r="F38" s="74">
        <v>12.50337746554985</v>
      </c>
      <c r="G38" s="315">
        <f>GETPIVOTDATA("ABS",$A$15,"sost","Estatal","entidad","Quintana Roo","Año",2022)-GETPIVOTDATA("ABS",$A$15,"sost","Estatal","entidad","Quintana Roo","Año",2021)</f>
        <v>-4.7215447891888473E-2</v>
      </c>
      <c r="H38" s="315">
        <f>GETPIVOTDATA("ABS",$A$15,"sost","Estatal","entidad","Quintana Roo","Año",2022)-GETPIVOTDATA("ABS",$A$15,"sost","Estatal","entidad","Quintana Roo","Año",2018)</f>
        <v>0.45162287751329977</v>
      </c>
      <c r="I38" s="2"/>
    </row>
    <row r="39" spans="1:9">
      <c r="A39" s="51" t="s">
        <v>20</v>
      </c>
      <c r="B39" s="74">
        <v>3.3740668869425359</v>
      </c>
      <c r="C39" s="74">
        <v>4.0503176512801033</v>
      </c>
      <c r="D39" s="74">
        <v>3.9252216369009378</v>
      </c>
      <c r="E39" s="74">
        <v>3.9215686274509802</v>
      </c>
      <c r="F39" s="74">
        <v>4.7824081193295402</v>
      </c>
      <c r="G39" s="316">
        <f>GETPIVOTDATA("ABS",$A$15,"sost","Estatal","entidad","San Luis Potosí","Año",2022)-GETPIVOTDATA("ABS",$A$15,"sost","Estatal","entidad","San Luis Potosí","Año",2021)</f>
        <v>0.86083949187856001</v>
      </c>
      <c r="H39" s="316">
        <f>GETPIVOTDATA("ABS",$A$15,"sost","Estatal","entidad","San Luis Potosí","Año",2022)-GETPIVOTDATA("ABS",$A$15,"sost","Estatal","entidad","San Luis Potosí","Año",2018)</f>
        <v>1.4083412323870044</v>
      </c>
      <c r="I39" s="2"/>
    </row>
    <row r="40" spans="1:9">
      <c r="A40" s="51" t="s">
        <v>21</v>
      </c>
      <c r="B40" s="74">
        <v>6.3706417859706113</v>
      </c>
      <c r="C40" s="74">
        <v>6.8330915625608935</v>
      </c>
      <c r="D40" s="74">
        <v>6.2442053515599731</v>
      </c>
      <c r="E40" s="74">
        <v>6.0681371026198612</v>
      </c>
      <c r="F40" s="74">
        <v>7.3171234288069238</v>
      </c>
      <c r="G40" s="315">
        <f>GETPIVOTDATA("ABS",$A$15,"sost","Estatal","entidad","Sinaloa","Año",2022)-GETPIVOTDATA("ABS",$A$15,"sost","Estatal","entidad","Sinaloa","Año",2021)</f>
        <v>1.2489863261870626</v>
      </c>
      <c r="H40" s="315">
        <f>GETPIVOTDATA("ABS",$A$15,"sost","Estatal","entidad","Sinaloa","Año",2022)-GETPIVOTDATA("ABS",$A$15,"sost","Estatal","entidad","Sinaloa","Año",2018)</f>
        <v>0.94648164283631253</v>
      </c>
      <c r="I40" s="2"/>
    </row>
    <row r="41" spans="1:9">
      <c r="A41" s="51" t="s">
        <v>22</v>
      </c>
      <c r="B41" s="74">
        <v>12.595419847328243</v>
      </c>
      <c r="C41" s="74">
        <v>13.968520366506395</v>
      </c>
      <c r="D41" s="74">
        <v>12.540759672160043</v>
      </c>
      <c r="E41" s="74">
        <v>11.614713345573826</v>
      </c>
      <c r="F41" s="74">
        <v>13.120574409425393</v>
      </c>
      <c r="G41" s="316">
        <f>GETPIVOTDATA("ABS",$A$15,"sost","Estatal","entidad","Sonora","Año",2022)-GETPIVOTDATA("ABS",$A$15,"sost","Estatal","entidad","Sonora","Año",2021)</f>
        <v>1.505861063851567</v>
      </c>
      <c r="H41" s="316">
        <f>GETPIVOTDATA("ABS",$A$15,"sost","Estatal","entidad","Sonora","Año",2022)-GETPIVOTDATA("ABS",$A$15,"sost","Estatal","entidad","Sonora","Año",2018)</f>
        <v>0.52515456209714984</v>
      </c>
      <c r="I41" s="2"/>
    </row>
    <row r="42" spans="1:9">
      <c r="A42" s="51" t="s">
        <v>23</v>
      </c>
      <c r="B42" s="74">
        <v>4.9960022290601609</v>
      </c>
      <c r="C42" s="74">
        <v>5.1921763730367765</v>
      </c>
      <c r="D42" s="74">
        <v>4.558896590882207</v>
      </c>
      <c r="E42" s="74">
        <v>4.6588181506457884</v>
      </c>
      <c r="F42" s="74">
        <v>5.2842582106455271</v>
      </c>
      <c r="G42" s="315">
        <f>GETPIVOTDATA("ABS",$A$15,"sost","Estatal","entidad","Tabasco","Año",2022)-GETPIVOTDATA("ABS",$A$15,"sost","Estatal","entidad","Tabasco","Año",2021)</f>
        <v>0.62544005999973873</v>
      </c>
      <c r="H42" s="315">
        <f>GETPIVOTDATA("ABS",$A$15,"sost","Estatal","entidad","Tabasco","Año",2022)-GETPIVOTDATA("ABS",$A$15,"sost","Estatal","entidad","Tabasco","Año",2018)</f>
        <v>0.28825598158536625</v>
      </c>
      <c r="I42" s="2"/>
    </row>
    <row r="43" spans="1:9">
      <c r="A43" s="51" t="s">
        <v>24</v>
      </c>
      <c r="B43" s="74">
        <v>6.2109740867936312</v>
      </c>
      <c r="C43" s="74">
        <v>6.1442546708363404</v>
      </c>
      <c r="D43" s="74">
        <v>5.460397971127585</v>
      </c>
      <c r="E43" s="74">
        <v>4.6068564662827622</v>
      </c>
      <c r="F43" s="74">
        <v>6.0817181770560502</v>
      </c>
      <c r="G43" s="316">
        <f>GETPIVOTDATA("ABS",$A$15,"sost","Estatal","entidad","Tamaulipas","Año",2022)-GETPIVOTDATA("ABS",$A$15,"sost","Estatal","entidad","Tamaulipas","Año",2021)</f>
        <v>1.474861710773288</v>
      </c>
      <c r="H43" s="316">
        <f>GETPIVOTDATA("ABS",$A$15,"sost","Estatal","entidad","Tamaulipas","Año",2022)-GETPIVOTDATA("ABS",$A$15,"sost","Estatal","entidad","Tamaulipas","Año",2018)</f>
        <v>-0.12925590973758094</v>
      </c>
      <c r="I43" s="2"/>
    </row>
    <row r="44" spans="1:9">
      <c r="A44" s="51" t="s">
        <v>25</v>
      </c>
      <c r="B44" s="74">
        <v>5.0862930922053646</v>
      </c>
      <c r="C44" s="74">
        <v>5.0074834295488566</v>
      </c>
      <c r="D44" s="74">
        <v>5.4834308850063813</v>
      </c>
      <c r="E44" s="74">
        <v>4.6263051463001945</v>
      </c>
      <c r="F44" s="74">
        <v>5.2482151058410924</v>
      </c>
      <c r="G44" s="315">
        <f>GETPIVOTDATA("ABS",$A$15,"sost","Estatal","entidad","Tlaxcala","Año",2022)-GETPIVOTDATA("ABS",$A$15,"sost","Estatal","entidad","Tlaxcala","Año",2021)</f>
        <v>0.62190995954089789</v>
      </c>
      <c r="H44" s="315">
        <f>GETPIVOTDATA("ABS",$A$15,"sost","Estatal","entidad","Tlaxcala","Año",2022)-GETPIVOTDATA("ABS",$A$15,"sost","Estatal","entidad","Tlaxcala","Año",2018)</f>
        <v>0.16192201363572778</v>
      </c>
      <c r="I44" s="2"/>
    </row>
    <row r="45" spans="1:9">
      <c r="A45" s="51" t="s">
        <v>53</v>
      </c>
      <c r="B45" s="74">
        <v>2.4981715121594439</v>
      </c>
      <c r="C45" s="74">
        <v>2.9849673880936605</v>
      </c>
      <c r="D45" s="74">
        <v>3.5131339831488519</v>
      </c>
      <c r="E45" s="74">
        <v>3.6690593502238453</v>
      </c>
      <c r="F45" s="74">
        <v>4.0683448414560575</v>
      </c>
      <c r="G45" s="316">
        <f>GETPIVOTDATA("ABS",$A$15,"sost","Estatal","entidad","Veracruz llave","Año",2022)-GETPIVOTDATA("ABS",$A$15,"sost","Estatal","entidad","Veracruz llave","Año",2021)</f>
        <v>0.39928549123221213</v>
      </c>
      <c r="H45" s="316">
        <f>GETPIVOTDATA("ABS",$A$15,"sost","Estatal","entidad","Veracruz llave","Año",2022)-GETPIVOTDATA("ABS",$A$15,"sost","Estatal","entidad","Veracruz llave","Año",2018)</f>
        <v>1.5701733292966136</v>
      </c>
      <c r="I45" s="2"/>
    </row>
    <row r="46" spans="1:9">
      <c r="A46" s="51" t="s">
        <v>26</v>
      </c>
      <c r="B46" s="74">
        <v>5.3418505397640104</v>
      </c>
      <c r="C46" s="74">
        <v>6.1421882700837847</v>
      </c>
      <c r="D46" s="74">
        <v>6.6054704459467848</v>
      </c>
      <c r="E46" s="74">
        <v>5.7373039850381238</v>
      </c>
      <c r="F46" s="74">
        <v>6.133518776077886</v>
      </c>
      <c r="G46" s="315">
        <f>GETPIVOTDATA("ABS",$A$15,"sost","Estatal","entidad","Yucatán","Año",2022)-GETPIVOTDATA("ABS",$A$15,"sost","Estatal","entidad","Yucatán","Año",2021)</f>
        <v>0.3962147910397622</v>
      </c>
      <c r="H46" s="315">
        <f>GETPIVOTDATA("ABS",$A$15,"sost","Estatal","entidad","Yucatán","Año",2022)-GETPIVOTDATA("ABS",$A$15,"sost","Estatal","entidad","Yucatán","Año",2018)</f>
        <v>0.79166823631387562</v>
      </c>
      <c r="I46" s="2"/>
    </row>
    <row r="47" spans="1:9">
      <c r="A47" s="51" t="s">
        <v>27</v>
      </c>
      <c r="B47" s="74">
        <v>2.3175708562656783</v>
      </c>
      <c r="C47" s="74">
        <v>2.4558154515077097</v>
      </c>
      <c r="D47" s="74">
        <v>2.3386305670001963</v>
      </c>
      <c r="E47" s="74">
        <v>2.4157613699134597</v>
      </c>
      <c r="F47" s="74">
        <v>2.4051231670487212</v>
      </c>
      <c r="G47" s="316">
        <f>GETPIVOTDATA("ABS",$A$15,"sost","Estatal","entidad","Zacatecas","Año",2022)-GETPIVOTDATA("ABS",$A$15,"sost","Estatal","entidad","Zacatecas","Año",2021)</f>
        <v>-1.0638202864738489E-2</v>
      </c>
      <c r="H47" s="316">
        <f>GETPIVOTDATA("ABS",$A$15,"sost","Estatal","entidad","Zacatecas","Año",2022)-GETPIVOTDATA("ABS",$A$15,"sost","Estatal","entidad","Zacatecas","Año",2018)</f>
        <v>8.755231078304293E-2</v>
      </c>
      <c r="I47" s="2"/>
    </row>
    <row r="48" spans="1:9">
      <c r="A48" s="49" t="s">
        <v>50</v>
      </c>
      <c r="B48" s="82">
        <v>9.8860802349922992</v>
      </c>
      <c r="C48" s="82">
        <v>10.800472773153666</v>
      </c>
      <c r="D48" s="82">
        <v>10.488237006914183</v>
      </c>
      <c r="E48" s="82">
        <v>8.9739681765530701</v>
      </c>
      <c r="F48" s="82">
        <v>9.7950500101079143</v>
      </c>
      <c r="G48" s="317">
        <f>GETPIVOTDATA("ABS",$A$15,"sost","Federal","Año",2022)-GETPIVOTDATA("ABS",$A$15,"sost","Federal","Año",2021)</f>
        <v>0.82108183355484421</v>
      </c>
      <c r="H48" s="317">
        <f>GETPIVOTDATA("ABS",$A$15,"sost","Federal","Año",2022)-GETPIVOTDATA("ABS",$A$15,"sost","Federal","Año",2018)</f>
        <v>-9.1030224884384836E-2</v>
      </c>
      <c r="I48" s="2"/>
    </row>
    <row r="49" spans="1:9">
      <c r="A49" s="51" t="s">
        <v>32</v>
      </c>
      <c r="B49" s="74">
        <v>12.871376622654235</v>
      </c>
      <c r="C49" s="74">
        <v>13.65054938733245</v>
      </c>
      <c r="D49" s="74">
        <v>13.823737925737747</v>
      </c>
      <c r="E49" s="74">
        <v>11.976094490416578</v>
      </c>
      <c r="F49" s="74">
        <v>12.332390511592475</v>
      </c>
      <c r="G49" s="316">
        <f>GETPIVOTDATA("ABS",$A$15,"sost","Federal","entidad","Ciudad de México","Año",2022)-GETPIVOTDATA("ABS",$A$15,"sost","Federal","entidad","Ciudad de México","Año",2021)</f>
        <v>0.35629602117589698</v>
      </c>
      <c r="H49" s="316">
        <f>GETPIVOTDATA("ABS",$A$15,"sost","Federal","entidad","Ciudad de México","Año",2022)-GETPIVOTDATA("ABS",$A$15,"sost","Federal","entidad","Ciudad de México","Año",2018)</f>
        <v>-0.5389861110617602</v>
      </c>
      <c r="I49" s="2"/>
    </row>
    <row r="50" spans="1:9">
      <c r="A50" s="51" t="s">
        <v>28</v>
      </c>
      <c r="B50" s="74">
        <v>3.3694563336672436</v>
      </c>
      <c r="C50" s="74">
        <v>4.3511512488812949</v>
      </c>
      <c r="D50" s="74">
        <v>3.7685040541545782</v>
      </c>
      <c r="E50" s="74">
        <v>3.0661526256454508</v>
      </c>
      <c r="F50" s="74">
        <v>4.3434113813745547</v>
      </c>
      <c r="G50" s="315">
        <f>GETPIVOTDATA("ABS",$A$15,"sost","Federal","entidad","Oaxaca","Año",2022)-GETPIVOTDATA("ABS",$A$15,"sost","Federal","entidad","Oaxaca","Año",2021)</f>
        <v>1.277258755729104</v>
      </c>
      <c r="H50" s="315">
        <f>GETPIVOTDATA("ABS",$A$15,"sost","Federal","entidad","Oaxaca","Año",2022)-GETPIVOTDATA("ABS",$A$15,"sost","Federal","entidad","Oaxaca","Año",2018)</f>
        <v>0.97395504770731112</v>
      </c>
      <c r="I50" s="2"/>
    </row>
    <row r="51" spans="1:9" hidden="1">
      <c r="A51" s="51" t="s">
        <v>39</v>
      </c>
      <c r="B51" s="74">
        <v>0</v>
      </c>
      <c r="C51" s="74">
        <v>0</v>
      </c>
      <c r="D51" s="74">
        <v>0</v>
      </c>
      <c r="E51" s="74">
        <v>0</v>
      </c>
      <c r="F51" s="74">
        <v>0</v>
      </c>
      <c r="G51" s="316">
        <f>GETPIVOTDATA("ABS",$A$15,"sost","Federal","entidad","Oficinas Nacionales","Año",2022)-GETPIVOTDATA("ABS",$A$15,"sost","Federal","entidad","Oficinas Nacionales","Año",2021)</f>
        <v>0</v>
      </c>
      <c r="H51" s="316">
        <f>GETPIVOTDATA("ABS",$A$15,"sost","Federal","entidad","Oficinas Nacionales","Año",2022)-GETPIVOTDATA("ABS",$A$15,"sost","Federal","entidad","Oficinas Nacionales","Año",2018)</f>
        <v>0</v>
      </c>
    </row>
    <row r="52" spans="1:9" hidden="1">
      <c r="A52" s="49" t="s">
        <v>124</v>
      </c>
      <c r="B52" s="74">
        <v>0</v>
      </c>
      <c r="C52" s="74">
        <v>0</v>
      </c>
      <c r="D52" s="74">
        <v>0</v>
      </c>
      <c r="E52" s="74">
        <v>0</v>
      </c>
      <c r="F52" s="74">
        <v>0</v>
      </c>
      <c r="G52" s="317">
        <f>GETPIVOTDATA("ABS",$A$15,"sost","Otro","Año",2022)-GETPIVOTDATA("ABS",$A$15,"sost","Otro","Año",2021)</f>
        <v>0</v>
      </c>
      <c r="H52" s="317">
        <f>GETPIVOTDATA("ABS",$A$15,"sost","Otro","Año",2022)-GETPIVOTDATA("ABS",$A$15,"sost","Otro","Año",2018)</f>
        <v>0</v>
      </c>
    </row>
    <row r="53" spans="1:9" hidden="1">
      <c r="A53" s="51" t="s">
        <v>40</v>
      </c>
      <c r="B53" s="74">
        <v>0</v>
      </c>
      <c r="C53" s="74">
        <v>0</v>
      </c>
      <c r="D53" s="74">
        <v>0</v>
      </c>
      <c r="E53" s="74">
        <v>0</v>
      </c>
      <c r="F53" s="74">
        <v>0</v>
      </c>
      <c r="G53" s="316">
        <f>GETPIVOTDATA("ABS",$A$15,"sost","Otro","entidad","Otros","Año",2022)-GETPIVOTDATA("ABS",$A$15,"sost","Otro","entidad","Otros","Año",2021)</f>
        <v>0</v>
      </c>
      <c r="H53" s="316">
        <f>GETPIVOTDATA("ABS",$A$15,"sost","Otro","entidad","Otros","Año",2022)-GETPIVOTDATA("ABS",$A$15,"sost","Otro","entidad","Otros","Año",2018)</f>
        <v>0</v>
      </c>
    </row>
    <row r="54" spans="1:9" hidden="1">
      <c r="A54" s="49" t="s">
        <v>37</v>
      </c>
      <c r="B54" s="74">
        <v>5.7563120080126753</v>
      </c>
      <c r="C54" s="74">
        <v>6.2618384857804967</v>
      </c>
      <c r="D54" s="74">
        <v>6.1427280475920947</v>
      </c>
      <c r="E54" s="74">
        <v>5.8313559384679063</v>
      </c>
      <c r="F54" s="74">
        <v>6.3773420070076163</v>
      </c>
      <c r="G54" s="318">
        <f>GETPIVOTDATA("ABS",$A$15,"Año",2022)-GETPIVOTDATA("ABS",$A$15,"Año",2021)</f>
        <v>0.54598606853970999</v>
      </c>
      <c r="H54" s="318">
        <f>GETPIVOTDATA("ABS",$A$15,"Año",2022)-GETPIVOTDATA("ABS",$A$15,"Año",2018)</f>
        <v>0.62102999899494105</v>
      </c>
    </row>
    <row r="56" spans="1:9">
      <c r="A56" s="84" t="s">
        <v>264</v>
      </c>
      <c r="B56" s="85"/>
      <c r="C56" s="85"/>
      <c r="D56" s="85"/>
      <c r="E56" s="85"/>
      <c r="F56" s="85"/>
    </row>
    <row r="58" spans="1:9">
      <c r="A58" s="301"/>
      <c r="B58" s="301"/>
      <c r="C58" s="301"/>
      <c r="D58" s="301"/>
      <c r="E58" s="301"/>
      <c r="F58" s="301"/>
    </row>
    <row r="59" spans="1:9">
      <c r="A59" s="301"/>
      <c r="B59" s="301"/>
      <c r="C59" s="301"/>
      <c r="D59" s="301"/>
      <c r="E59" s="301"/>
      <c r="F59" s="301"/>
    </row>
    <row r="60" spans="1:9">
      <c r="A60" s="301"/>
      <c r="B60" s="301"/>
      <c r="C60" s="301"/>
      <c r="D60" s="301"/>
      <c r="E60" s="301"/>
      <c r="F60" s="301"/>
    </row>
    <row r="61" spans="1:9">
      <c r="A61" s="301"/>
      <c r="B61" s="301"/>
      <c r="C61" s="301"/>
      <c r="D61" s="301"/>
      <c r="E61" s="301"/>
      <c r="F61" s="301"/>
    </row>
    <row r="62" spans="1:9" ht="69.75" customHeight="1">
      <c r="A62" s="301"/>
      <c r="B62" s="301"/>
      <c r="C62" s="301"/>
      <c r="D62" s="301"/>
      <c r="E62" s="301"/>
      <c r="F62" s="301"/>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57"/>
  <sheetViews>
    <sheetView showGridLines="0" view="pageBreakPreview" topLeftCell="A34" zoomScaleNormal="120" zoomScaleSheetLayoutView="100" workbookViewId="0">
      <selection activeCell="L39" sqref="L39"/>
    </sheetView>
  </sheetViews>
  <sheetFormatPr baseColWidth="10" defaultColWidth="11.42578125" defaultRowHeight="13.5"/>
  <cols>
    <col min="1" max="1" width="23.5703125" style="48" customWidth="1"/>
    <col min="2" max="6" width="9.5703125" style="48" customWidth="1"/>
    <col min="7" max="10" width="8.5703125" style="48" customWidth="1"/>
    <col min="11" max="11" width="11.5703125" style="48" bestFit="1" customWidth="1"/>
    <col min="12" max="12" width="15.140625" style="48" bestFit="1" customWidth="1"/>
    <col min="13" max="13" width="11.5703125" style="48" bestFit="1" customWidth="1"/>
    <col min="14" max="14" width="20.140625" style="48" bestFit="1" customWidth="1"/>
    <col min="15" max="15" width="16.5703125" style="48" bestFit="1" customWidth="1"/>
    <col min="16" max="16384" width="11.42578125" style="48"/>
  </cols>
  <sheetData>
    <row r="1" spans="1:13" s="3" customFormat="1" ht="15" customHeight="1">
      <c r="B1" s="1"/>
      <c r="C1" s="1"/>
      <c r="D1" s="1"/>
      <c r="E1" s="1"/>
      <c r="G1" s="291"/>
      <c r="I1" s="291"/>
      <c r="J1" s="64" t="s">
        <v>48</v>
      </c>
    </row>
    <row r="2" spans="1:13" s="3" customFormat="1" ht="15" customHeight="1">
      <c r="B2" s="1"/>
      <c r="C2" s="1"/>
      <c r="D2" s="1"/>
      <c r="E2" s="1"/>
      <c r="G2" s="291"/>
      <c r="I2" s="291"/>
      <c r="J2" s="6" t="s">
        <v>42</v>
      </c>
    </row>
    <row r="3" spans="1:13" s="3" customFormat="1" ht="15" customHeight="1">
      <c r="B3" s="1"/>
      <c r="C3" s="1"/>
      <c r="D3" s="1"/>
      <c r="E3" s="1"/>
      <c r="F3" s="1"/>
      <c r="G3" s="291"/>
      <c r="I3" s="291"/>
    </row>
    <row r="4" spans="1:13" s="3" customFormat="1" ht="5.25" customHeight="1">
      <c r="B4" s="1"/>
      <c r="C4" s="1"/>
      <c r="D4" s="1"/>
      <c r="E4" s="1"/>
      <c r="F4" s="1"/>
      <c r="G4" s="291"/>
      <c r="I4" s="291"/>
    </row>
    <row r="5" spans="1:13" s="3" customFormat="1" ht="15" customHeight="1">
      <c r="A5" s="367" t="s">
        <v>228</v>
      </c>
      <c r="B5" s="367"/>
      <c r="C5" s="367"/>
      <c r="D5" s="367"/>
      <c r="E5" s="367"/>
      <c r="F5" s="367"/>
      <c r="G5" s="367"/>
      <c r="H5" s="367"/>
      <c r="I5" s="367"/>
      <c r="J5" s="367"/>
    </row>
    <row r="6" spans="1:13" s="3" customFormat="1" ht="8.1" customHeight="1">
      <c r="A6" s="5"/>
      <c r="B6" s="63"/>
      <c r="C6" s="65"/>
      <c r="D6" s="65"/>
      <c r="E6" s="66"/>
      <c r="F6" s="66"/>
      <c r="G6" s="291"/>
      <c r="I6" s="291"/>
    </row>
    <row r="7" spans="1:13" s="68" customFormat="1" ht="15" customHeight="1">
      <c r="A7" s="76" t="s">
        <v>45</v>
      </c>
      <c r="B7" s="76" t="s">
        <v>0</v>
      </c>
      <c r="C7" s="67"/>
      <c r="D7" s="67"/>
      <c r="E7" s="63"/>
      <c r="F7" s="63"/>
    </row>
    <row r="8" spans="1:13" s="68" customFormat="1" ht="15" customHeight="1">
      <c r="A8" s="77">
        <v>2018</v>
      </c>
      <c r="B8" s="92">
        <f>$B$54</f>
        <v>307859</v>
      </c>
      <c r="C8" s="69"/>
      <c r="D8" s="67"/>
      <c r="E8" s="63"/>
      <c r="F8" s="63"/>
    </row>
    <row r="9" spans="1:13" s="68" customFormat="1" ht="15" customHeight="1">
      <c r="A9" s="77">
        <v>2019</v>
      </c>
      <c r="B9" s="92">
        <f>$C$54</f>
        <v>306089</v>
      </c>
      <c r="C9" s="67"/>
      <c r="D9" s="67"/>
      <c r="E9" s="63"/>
      <c r="F9" s="63"/>
    </row>
    <row r="10" spans="1:13" s="68" customFormat="1" ht="15" customHeight="1">
      <c r="A10" s="77">
        <v>2020</v>
      </c>
      <c r="B10" s="92">
        <f>$D$54</f>
        <v>307031</v>
      </c>
      <c r="C10" s="67"/>
      <c r="D10" s="67"/>
      <c r="E10" s="63"/>
      <c r="F10" s="63"/>
    </row>
    <row r="11" spans="1:13" s="68" customFormat="1" ht="15" customHeight="1">
      <c r="A11" s="77">
        <v>2021</v>
      </c>
      <c r="B11" s="92">
        <f>$E$54</f>
        <v>309717</v>
      </c>
      <c r="C11" s="67"/>
      <c r="D11" s="67"/>
      <c r="E11" s="63"/>
      <c r="F11" s="63"/>
    </row>
    <row r="12" spans="1:13" s="68" customFormat="1" ht="15" customHeight="1">
      <c r="A12" s="303">
        <v>2022</v>
      </c>
      <c r="B12" s="92">
        <f>$F$54</f>
        <v>321053</v>
      </c>
      <c r="C12" s="67"/>
      <c r="D12" s="67"/>
      <c r="E12" s="63"/>
      <c r="F12" s="63"/>
    </row>
    <row r="13" spans="1:13" s="68" customFormat="1" ht="15" customHeight="1">
      <c r="A13" s="79" t="s">
        <v>314</v>
      </c>
      <c r="B13" s="92">
        <f>B12-B11</f>
        <v>11336</v>
      </c>
      <c r="C13" s="67"/>
      <c r="D13" s="67"/>
      <c r="E13" s="63"/>
      <c r="F13" s="63"/>
    </row>
    <row r="14" spans="1:13" s="3" customFormat="1" ht="11.25" customHeight="1">
      <c r="A14" s="71"/>
      <c r="B14" s="365"/>
      <c r="C14" s="365"/>
      <c r="D14" s="365"/>
      <c r="E14" s="366"/>
      <c r="F14" s="366"/>
      <c r="G14" s="291"/>
      <c r="I14" s="291"/>
    </row>
    <row r="15" spans="1:13" hidden="1">
      <c r="A15" s="83" t="s">
        <v>162</v>
      </c>
      <c r="B15" s="47" t="s">
        <v>45</v>
      </c>
      <c r="G15" s="311"/>
      <c r="H15" s="311"/>
      <c r="I15" s="311"/>
      <c r="J15" s="311"/>
      <c r="K15" s="2"/>
      <c r="L15" s="2"/>
      <c r="M15" s="2"/>
    </row>
    <row r="16" spans="1:13" ht="27">
      <c r="A16" s="47" t="s">
        <v>156</v>
      </c>
      <c r="B16" s="48">
        <v>2018</v>
      </c>
      <c r="C16" s="48">
        <v>2019</v>
      </c>
      <c r="D16" s="48">
        <v>2020</v>
      </c>
      <c r="E16" s="48">
        <v>2021</v>
      </c>
      <c r="F16" s="48">
        <v>2022</v>
      </c>
      <c r="G16" s="313" t="s">
        <v>333</v>
      </c>
      <c r="H16" s="313" t="s">
        <v>334</v>
      </c>
      <c r="I16" s="313" t="s">
        <v>333</v>
      </c>
      <c r="J16" s="313" t="s">
        <v>335</v>
      </c>
      <c r="K16" s="2"/>
      <c r="L16" s="2"/>
      <c r="M16" s="2"/>
    </row>
    <row r="17" spans="1:13">
      <c r="A17" s="49" t="s">
        <v>49</v>
      </c>
      <c r="B17" s="50">
        <v>257583</v>
      </c>
      <c r="C17" s="50">
        <v>255858</v>
      </c>
      <c r="D17" s="50">
        <v>255180</v>
      </c>
      <c r="E17" s="50">
        <v>257402</v>
      </c>
      <c r="F17" s="50">
        <v>269726</v>
      </c>
      <c r="G17" s="324">
        <f>((GETPIVOTDATA("matricula",$A$15,"sost","Estatal","Año",2022)/GETPIVOTDATA("matricula",$A$15,"sost","Estatal","Año",2021))-1)*100</f>
        <v>4.787841586312469</v>
      </c>
      <c r="H17" s="320">
        <f>GETPIVOTDATA("matricula",$A$15,"sost","Estatal","Año",2022)-GETPIVOTDATA("matricula",$A$15,"sost","Estatal","Año",2021)</f>
        <v>12324</v>
      </c>
      <c r="I17" s="324">
        <f>((GETPIVOTDATA("matricula",$A$15,"sost","Estatal","Año",2022)/GETPIVOTDATA("matricula",$A$15,"sost","Estatal","Año",2018))-1)*100</f>
        <v>4.7142086240163472</v>
      </c>
      <c r="J17" s="320">
        <f>GETPIVOTDATA("matricula",$A$15,"sost","Estatal","Año",2022)-GETPIVOTDATA("matricula",$A$15,"sost","Estatal","Año",2018)</f>
        <v>12143</v>
      </c>
      <c r="K17" s="2"/>
      <c r="L17" s="2"/>
      <c r="M17" s="2"/>
    </row>
    <row r="18" spans="1:13">
      <c r="A18" s="51" t="s">
        <v>1</v>
      </c>
      <c r="B18" s="50">
        <v>4691</v>
      </c>
      <c r="C18" s="50">
        <v>4532</v>
      </c>
      <c r="D18" s="50">
        <v>4531</v>
      </c>
      <c r="E18" s="50">
        <v>4237</v>
      </c>
      <c r="F18" s="50">
        <v>4434</v>
      </c>
      <c r="G18" s="325">
        <f>((GETPIVOTDATA("matricula",$A$15,"sost","Estatal","entidad","Aguascalientes","Año",2022)/GETPIVOTDATA("matricula",$A$15,"sost","Estatal","entidad","Aguascalientes","Año",2021))-1)*100</f>
        <v>4.6495161670993657</v>
      </c>
      <c r="H18" s="321">
        <f>GETPIVOTDATA("matricula",$A$15,"sost","Estatal","entidad","Aguascalientes","Año",2022)-GETPIVOTDATA("matricula",$A$15,"sost","Estatal","entidad","Aguascalientes","Año",2021)</f>
        <v>197</v>
      </c>
      <c r="I18" s="325">
        <f>((GETPIVOTDATA("matricula",$A$15,"sost","Estatal","entidad","Aguascalientes","Año",2022)/GETPIVOTDATA("matricula",$A$15,"sost","Estatal","entidad","Aguascalientes","Año",2018))-1)*100</f>
        <v>-5.4785759965892193</v>
      </c>
      <c r="J18" s="321">
        <f>GETPIVOTDATA("matricula",$A$15,"sost","Estatal","entidad","Aguascalientes","Año",2022)-GETPIVOTDATA("matricula",$A$15,"sost","Estatal","entidad","Aguascalientes","Año",2018)</f>
        <v>-257</v>
      </c>
      <c r="K18" s="2"/>
      <c r="L18" s="2"/>
      <c r="M18" s="2"/>
    </row>
    <row r="19" spans="1:13">
      <c r="A19" s="51" t="s">
        <v>3</v>
      </c>
      <c r="B19" s="50">
        <v>8462</v>
      </c>
      <c r="C19" s="50">
        <v>8748</v>
      </c>
      <c r="D19" s="50">
        <v>8621</v>
      </c>
      <c r="E19" s="50">
        <v>8841</v>
      </c>
      <c r="F19" s="50">
        <v>9226</v>
      </c>
      <c r="G19" s="326">
        <f>((GETPIVOTDATA("matricula",$A$15,"sost","Estatal","entidad","Baja California","Año",2022)/GETPIVOTDATA("matricula",$A$15,"sost","Estatal","entidad","Baja California","Año",2021))-1)*100</f>
        <v>4.3547110055423666</v>
      </c>
      <c r="H19" s="322">
        <f>GETPIVOTDATA("matricula",$A$15,"sost","Estatal","entidad","Baja California","Año",2022)-GETPIVOTDATA("matricula",$A$15,"sost","Estatal","entidad","Baja California","Año",2021)</f>
        <v>385</v>
      </c>
      <c r="I19" s="326">
        <f>((GETPIVOTDATA("matricula",$A$15,"sost","Estatal","entidad","Baja California","Año",2022)/GETPIVOTDATA("matricula",$A$15,"sost","Estatal","entidad","Baja California","Año",2018))-1)*100</f>
        <v>9.0285984400850783</v>
      </c>
      <c r="J19" s="322">
        <f>GETPIVOTDATA("matricula",$A$15,"sost","Estatal","entidad","Baja California","Año",2022)-GETPIVOTDATA("matricula",$A$15,"sost","Estatal","entidad","Baja California","Año",2018)</f>
        <v>764</v>
      </c>
      <c r="K19" s="2"/>
      <c r="L19" s="2"/>
      <c r="M19" s="2"/>
    </row>
    <row r="20" spans="1:13">
      <c r="A20" s="51" t="s">
        <v>4</v>
      </c>
      <c r="B20" s="50">
        <v>1697</v>
      </c>
      <c r="C20" s="50">
        <v>1538</v>
      </c>
      <c r="D20" s="50">
        <v>1505</v>
      </c>
      <c r="E20" s="50">
        <v>1531</v>
      </c>
      <c r="F20" s="50">
        <v>1676</v>
      </c>
      <c r="G20" s="327">
        <f>((GETPIVOTDATA("matricula",$A$15,"sost","Estatal","entidad","Baja California Sur","Año",2022)/GETPIVOTDATA("matricula",$A$15,"sost","Estatal","entidad","Baja California Sur","Año",2021))-1)*100</f>
        <v>9.4709340300457292</v>
      </c>
      <c r="H20" s="321">
        <f>GETPIVOTDATA("matricula",$A$15,"sost","Estatal","entidad","Baja California Sur","Año",2022)-GETPIVOTDATA("matricula",$A$15,"sost","Estatal","entidad","Baja California Sur","Año",2021)</f>
        <v>145</v>
      </c>
      <c r="I20" s="327">
        <f>((GETPIVOTDATA("matricula",$A$15,"sost","Estatal","entidad","Baja California Sur","Año",2022)/GETPIVOTDATA("matricula",$A$15,"sost","Estatal","entidad","Baja California Sur","Año",2018))-1)*100</f>
        <v>-1.2374779021803173</v>
      </c>
      <c r="J20" s="321">
        <f>GETPIVOTDATA("matricula",$A$15,"sost","Estatal","entidad","Baja California Sur","Año",2022)-GETPIVOTDATA("matricula",$A$15,"sost","Estatal","entidad","Baja California Sur","Año",2018)</f>
        <v>-21</v>
      </c>
      <c r="K20" s="2"/>
      <c r="L20" s="2"/>
      <c r="M20" s="2"/>
    </row>
    <row r="21" spans="1:13">
      <c r="A21" s="51" t="s">
        <v>5</v>
      </c>
      <c r="B21" s="50">
        <v>1896</v>
      </c>
      <c r="C21" s="50">
        <v>1953</v>
      </c>
      <c r="D21" s="50">
        <v>1959</v>
      </c>
      <c r="E21" s="50">
        <v>1937</v>
      </c>
      <c r="F21" s="50">
        <v>2131</v>
      </c>
      <c r="G21" s="326">
        <f>((GETPIVOTDATA("matricula",$A$15,"sost","Estatal","entidad","Campeche","Año",2022)/GETPIVOTDATA("matricula",$A$15,"sost","Estatal","entidad","Campeche","Año",2021))-1)*100</f>
        <v>10.015487867836859</v>
      </c>
      <c r="H21" s="322">
        <f>GETPIVOTDATA("matricula",$A$15,"sost","Estatal","entidad","Campeche","Año",2022)-GETPIVOTDATA("matricula",$A$15,"sost","Estatal","entidad","Campeche","Año",2021)</f>
        <v>194</v>
      </c>
      <c r="I21" s="326">
        <f>((GETPIVOTDATA("matricula",$A$15,"sost","Estatal","entidad","Campeche","Año",2022)/GETPIVOTDATA("matricula",$A$15,"sost","Estatal","entidad","Campeche","Año",2018))-1)*100</f>
        <v>12.394514767932495</v>
      </c>
      <c r="J21" s="322">
        <f>GETPIVOTDATA("matricula",$A$15,"sost","Estatal","entidad","Campeche","Año",2022)-GETPIVOTDATA("matricula",$A$15,"sost","Estatal","entidad","Campeche","Año",2018)</f>
        <v>235</v>
      </c>
      <c r="K21" s="2"/>
      <c r="L21" s="2"/>
      <c r="M21" s="2"/>
    </row>
    <row r="22" spans="1:13">
      <c r="A22" s="51" t="s">
        <v>6</v>
      </c>
      <c r="B22" s="50">
        <v>7012</v>
      </c>
      <c r="C22" s="50">
        <v>6623</v>
      </c>
      <c r="D22" s="50">
        <v>7105</v>
      </c>
      <c r="E22" s="50">
        <v>8499</v>
      </c>
      <c r="F22" s="50">
        <v>8653</v>
      </c>
      <c r="G22" s="327">
        <f>((GETPIVOTDATA("matricula",$A$15,"sost","Estatal","entidad","Chiapas","Año",2022)/GETPIVOTDATA("matricula",$A$15,"sost","Estatal","entidad","Chiapas","Año",2021))-1)*100</f>
        <v>1.8119778797505592</v>
      </c>
      <c r="H22" s="321">
        <f>GETPIVOTDATA("matricula",$A$15,"sost","Estatal","entidad","Chiapas","Año",2022)-GETPIVOTDATA("matricula",$A$15,"sost","Estatal","entidad","Chiapas","Año",2021)</f>
        <v>154</v>
      </c>
      <c r="I22" s="327">
        <f>((GETPIVOTDATA("matricula",$A$15,"sost","Estatal","entidad","Chiapas","Año",2022)/GETPIVOTDATA("matricula",$A$15,"sost","Estatal","entidad","Chiapas","Año",2018))-1)*100</f>
        <v>23.402738163148882</v>
      </c>
      <c r="J22" s="321">
        <f>GETPIVOTDATA("matricula",$A$15,"sost","Estatal","entidad","Chiapas","Año",2022)-GETPIVOTDATA("matricula",$A$15,"sost","Estatal","entidad","Chiapas","Año",2018)</f>
        <v>1641</v>
      </c>
      <c r="K22" s="2"/>
      <c r="L22" s="2"/>
      <c r="M22" s="2"/>
    </row>
    <row r="23" spans="1:13">
      <c r="A23" s="51" t="s">
        <v>7</v>
      </c>
      <c r="B23" s="50">
        <v>8573</v>
      </c>
      <c r="C23" s="50">
        <v>8863</v>
      </c>
      <c r="D23" s="50">
        <v>8628</v>
      </c>
      <c r="E23" s="50">
        <v>8336</v>
      </c>
      <c r="F23" s="50">
        <v>9756</v>
      </c>
      <c r="G23" s="326">
        <f>((GETPIVOTDATA("matricula",$A$15,"sost","Estatal","entidad","Chihuahua","Año",2022)/GETPIVOTDATA("matricula",$A$15,"sost","Estatal","entidad","Chihuahua","Año",2021))-1)*100</f>
        <v>17.0345489443378</v>
      </c>
      <c r="H23" s="322">
        <f>GETPIVOTDATA("matricula",$A$15,"sost","Estatal","entidad","Chihuahua","Año",2022)-GETPIVOTDATA("matricula",$A$15,"sost","Estatal","entidad","Chihuahua","Año",2021)</f>
        <v>1420</v>
      </c>
      <c r="I23" s="326">
        <f>((GETPIVOTDATA("matricula",$A$15,"sost","Estatal","entidad","Chihuahua","Año",2022)/GETPIVOTDATA("matricula",$A$15,"sost","Estatal","entidad","Chihuahua","Año",2018))-1)*100</f>
        <v>13.799136824915426</v>
      </c>
      <c r="J23" s="322">
        <f>GETPIVOTDATA("matricula",$A$15,"sost","Estatal","entidad","Chihuahua","Año",2022)-GETPIVOTDATA("matricula",$A$15,"sost","Estatal","entidad","Chihuahua","Año",2018)</f>
        <v>1183</v>
      </c>
      <c r="K23" s="2"/>
      <c r="L23" s="2"/>
      <c r="M23" s="2"/>
    </row>
    <row r="24" spans="1:13">
      <c r="A24" s="51" t="s">
        <v>31</v>
      </c>
      <c r="B24" s="50">
        <v>10398</v>
      </c>
      <c r="C24" s="50">
        <v>10427</v>
      </c>
      <c r="D24" s="50">
        <v>10367</v>
      </c>
      <c r="E24" s="50">
        <v>10123</v>
      </c>
      <c r="F24" s="50">
        <v>10128</v>
      </c>
      <c r="G24" s="327">
        <f>((GETPIVOTDATA("matricula",$A$15,"sost","Estatal","entidad","Coahuila de Zaragoza","Año",2022)/GETPIVOTDATA("matricula",$A$15,"sost","Estatal","entidad","Coahuila de Zaragoza","Año",2021))-1)*100</f>
        <v>4.9392472587173053E-2</v>
      </c>
      <c r="H24" s="321">
        <f>GETPIVOTDATA("matricula",$A$15,"sost","Estatal","entidad","Coahuila de Zaragoza","Año",2022)-GETPIVOTDATA("matricula",$A$15,"sost","Estatal","entidad","Coahuila de Zaragoza","Año",2021)</f>
        <v>5</v>
      </c>
      <c r="I24" s="327">
        <f>((GETPIVOTDATA("matricula",$A$15,"sost","Estatal","entidad","Coahuila de Zaragoza","Año",2022)/GETPIVOTDATA("matricula",$A$15,"sost","Estatal","entidad","Coahuila de Zaragoza","Año",2018))-1)*100</f>
        <v>-2.5966532025389455</v>
      </c>
      <c r="J24" s="321">
        <f>GETPIVOTDATA("matricula",$A$15,"sost","Estatal","entidad","Coahuila de Zaragoza","Año",2022)-GETPIVOTDATA("matricula",$A$15,"sost","Estatal","entidad","Coahuila de Zaragoza","Año",2018)</f>
        <v>-270</v>
      </c>
      <c r="K24" s="2"/>
      <c r="L24" s="2"/>
      <c r="M24" s="2"/>
    </row>
    <row r="25" spans="1:13">
      <c r="A25" s="51" t="s">
        <v>8</v>
      </c>
      <c r="B25" s="50">
        <v>1891</v>
      </c>
      <c r="C25" s="50">
        <v>1934</v>
      </c>
      <c r="D25" s="50">
        <v>1849</v>
      </c>
      <c r="E25" s="50">
        <v>1760</v>
      </c>
      <c r="F25" s="50">
        <v>1800</v>
      </c>
      <c r="G25" s="326">
        <f>((GETPIVOTDATA("matricula",$A$15,"sost","Estatal","entidad","Colima","Año",2022)/GETPIVOTDATA("matricula",$A$15,"sost","Estatal","entidad","Colima","Año",2021))-1)*100</f>
        <v>2.2727272727272707</v>
      </c>
      <c r="H25" s="322">
        <f>GETPIVOTDATA("matricula",$A$15,"sost","Estatal","entidad","Colima","Año",2022)-GETPIVOTDATA("matricula",$A$15,"sost","Estatal","entidad","Colima","Año",2021)</f>
        <v>40</v>
      </c>
      <c r="I25" s="326">
        <f>((GETPIVOTDATA("matricula",$A$15,"sost","Estatal","entidad","Colima","Año",2022)/GETPIVOTDATA("matricula",$A$15,"sost","Estatal","entidad","Colima","Año",2018))-1)*100</f>
        <v>-4.8122686409307285</v>
      </c>
      <c r="J25" s="322">
        <f>GETPIVOTDATA("matricula",$A$15,"sost","Estatal","entidad","Colima","Año",2022)-GETPIVOTDATA("matricula",$A$15,"sost","Estatal","entidad","Colima","Año",2018)</f>
        <v>-91</v>
      </c>
      <c r="K25" s="2"/>
      <c r="L25" s="2"/>
      <c r="M25" s="2"/>
    </row>
    <row r="26" spans="1:13">
      <c r="A26" s="51" t="s">
        <v>9</v>
      </c>
      <c r="B26" s="50">
        <v>1930</v>
      </c>
      <c r="C26" s="50">
        <v>1888</v>
      </c>
      <c r="D26" s="50">
        <v>1601</v>
      </c>
      <c r="E26" s="50">
        <v>1607</v>
      </c>
      <c r="F26" s="50">
        <v>1782</v>
      </c>
      <c r="G26" s="327">
        <f>((GETPIVOTDATA("matricula",$A$15,"sost","Estatal","entidad","Durango","Año",2022)/GETPIVOTDATA("matricula",$A$15,"sost","Estatal","entidad","Durango","Año",2021))-1)*100</f>
        <v>10.889856876166771</v>
      </c>
      <c r="H26" s="321">
        <f>GETPIVOTDATA("matricula",$A$15,"sost","Estatal","entidad","Durango","Año",2022)-GETPIVOTDATA("matricula",$A$15,"sost","Estatal","entidad","Durango","Año",2021)</f>
        <v>175</v>
      </c>
      <c r="I26" s="327">
        <f>((GETPIVOTDATA("matricula",$A$15,"sost","Estatal","entidad","Durango","Año",2022)/GETPIVOTDATA("matricula",$A$15,"sost","Estatal","entidad","Durango","Año",2018))-1)*100</f>
        <v>-7.6683937823834203</v>
      </c>
      <c r="J26" s="321">
        <f>GETPIVOTDATA("matricula",$A$15,"sost","Estatal","entidad","Durango","Año",2022)-GETPIVOTDATA("matricula",$A$15,"sost","Estatal","entidad","Durango","Año",2018)</f>
        <v>-148</v>
      </c>
      <c r="K26" s="2"/>
      <c r="L26" s="2"/>
      <c r="M26" s="2"/>
    </row>
    <row r="27" spans="1:13">
      <c r="A27" s="51" t="s">
        <v>10</v>
      </c>
      <c r="B27" s="50">
        <v>18132</v>
      </c>
      <c r="C27" s="50">
        <v>18159</v>
      </c>
      <c r="D27" s="50">
        <v>17465</v>
      </c>
      <c r="E27" s="50">
        <v>16462</v>
      </c>
      <c r="F27" s="50">
        <v>17308</v>
      </c>
      <c r="G27" s="326">
        <f>((GETPIVOTDATA("matricula",$A$15,"sost","Estatal","entidad","Guanajuato","Año",2022)/GETPIVOTDATA("matricula",$A$15,"sost","Estatal","entidad","Guanajuato","Año",2021))-1)*100</f>
        <v>5.1391082493014162</v>
      </c>
      <c r="H27" s="322">
        <f>GETPIVOTDATA("matricula",$A$15,"sost","Estatal","entidad","Guanajuato","Año",2022)-GETPIVOTDATA("matricula",$A$15,"sost","Estatal","entidad","Guanajuato","Año",2021)</f>
        <v>846</v>
      </c>
      <c r="I27" s="326">
        <f>((GETPIVOTDATA("matricula",$A$15,"sost","Estatal","entidad","Guanajuato","Año",2022)/GETPIVOTDATA("matricula",$A$15,"sost","Estatal","entidad","Guanajuato","Año",2018))-1)*100</f>
        <v>-4.5444517979263193</v>
      </c>
      <c r="J27" s="322">
        <f>GETPIVOTDATA("matricula",$A$15,"sost","Estatal","entidad","Guanajuato","Año",2022)-GETPIVOTDATA("matricula",$A$15,"sost","Estatal","entidad","Guanajuato","Año",2018)</f>
        <v>-824</v>
      </c>
      <c r="K27" s="2"/>
      <c r="L27" s="2"/>
      <c r="M27" s="2"/>
    </row>
    <row r="28" spans="1:13">
      <c r="A28" s="51" t="s">
        <v>11</v>
      </c>
      <c r="B28" s="50">
        <v>6134</v>
      </c>
      <c r="C28" s="50">
        <v>6068</v>
      </c>
      <c r="D28" s="50">
        <v>5983</v>
      </c>
      <c r="E28" s="50">
        <v>5818</v>
      </c>
      <c r="F28" s="50">
        <v>5993</v>
      </c>
      <c r="G28" s="327">
        <f>((GETPIVOTDATA("matricula",$A$15,"sost","Estatal","entidad","Guerrero","Año",2022)/GETPIVOTDATA("matricula",$A$15,"sost","Estatal","entidad","Guerrero","Año",2021))-1)*100</f>
        <v>3.0079064970780278</v>
      </c>
      <c r="H28" s="321">
        <f>GETPIVOTDATA("matricula",$A$15,"sost","Estatal","entidad","Guerrero","Año",2022)-GETPIVOTDATA("matricula",$A$15,"sost","Estatal","entidad","Guerrero","Año",2021)</f>
        <v>175</v>
      </c>
      <c r="I28" s="327">
        <f>((GETPIVOTDATA("matricula",$A$15,"sost","Estatal","entidad","Guerrero","Año",2022)/GETPIVOTDATA("matricula",$A$15,"sost","Estatal","entidad","Guerrero","Año",2018))-1)*100</f>
        <v>-2.2986631887838227</v>
      </c>
      <c r="J28" s="321">
        <f>GETPIVOTDATA("matricula",$A$15,"sost","Estatal","entidad","Guerrero","Año",2022)-GETPIVOTDATA("matricula",$A$15,"sost","Estatal","entidad","Guerrero","Año",2018)</f>
        <v>-141</v>
      </c>
      <c r="K28" s="2"/>
      <c r="L28" s="2"/>
      <c r="M28" s="2"/>
    </row>
    <row r="29" spans="1:13">
      <c r="A29" s="51" t="s">
        <v>12</v>
      </c>
      <c r="B29" s="50">
        <v>3519</v>
      </c>
      <c r="C29" s="50">
        <v>3685</v>
      </c>
      <c r="D29" s="50">
        <v>3744</v>
      </c>
      <c r="E29" s="50">
        <v>3684</v>
      </c>
      <c r="F29" s="50">
        <v>3885</v>
      </c>
      <c r="G29" s="326">
        <f>((GETPIVOTDATA("matricula",$A$15,"sost","Estatal","entidad","Hidalgo","Año",2022)/GETPIVOTDATA("matricula",$A$15,"sost","Estatal","entidad","Hidalgo","Año",2021))-1)*100</f>
        <v>5.4560260586319131</v>
      </c>
      <c r="H29" s="322">
        <f>GETPIVOTDATA("matricula",$A$15,"sost","Estatal","entidad","Hidalgo","Año",2022)-GETPIVOTDATA("matricula",$A$15,"sost","Estatal","entidad","Hidalgo","Año",2021)</f>
        <v>201</v>
      </c>
      <c r="I29" s="326">
        <f>((GETPIVOTDATA("matricula",$A$15,"sost","Estatal","entidad","Hidalgo","Año",2022)/GETPIVOTDATA("matricula",$A$15,"sost","Estatal","entidad","Hidalgo","Año",2018))-1)*100</f>
        <v>10.400682011935203</v>
      </c>
      <c r="J29" s="322">
        <f>GETPIVOTDATA("matricula",$A$15,"sost","Estatal","entidad","Hidalgo","Año",2022)-GETPIVOTDATA("matricula",$A$15,"sost","Estatal","entidad","Hidalgo","Año",2018)</f>
        <v>366</v>
      </c>
      <c r="K29" s="2"/>
      <c r="L29" s="2"/>
      <c r="M29" s="2"/>
    </row>
    <row r="30" spans="1:13">
      <c r="A30" s="51" t="s">
        <v>13</v>
      </c>
      <c r="B30" s="50">
        <v>14341</v>
      </c>
      <c r="C30" s="50">
        <v>13794</v>
      </c>
      <c r="D30" s="50">
        <v>13609</v>
      </c>
      <c r="E30" s="50">
        <v>13107</v>
      </c>
      <c r="F30" s="50">
        <v>13082</v>
      </c>
      <c r="G30" s="327">
        <f>((GETPIVOTDATA("matricula",$A$15,"sost","Estatal","entidad","Jalisco","Año",2022)/GETPIVOTDATA("matricula",$A$15,"sost","Estatal","entidad","Jalisco","Año",2021))-1)*100</f>
        <v>-0.19073777370870459</v>
      </c>
      <c r="H30" s="321">
        <f>GETPIVOTDATA("matricula",$A$15,"sost","Estatal","entidad","Jalisco","Año",2022)-GETPIVOTDATA("matricula",$A$15,"sost","Estatal","entidad","Jalisco","Año",2021)</f>
        <v>-25</v>
      </c>
      <c r="I30" s="327">
        <f>((GETPIVOTDATA("matricula",$A$15,"sost","Estatal","entidad","Jalisco","Año",2022)/GETPIVOTDATA("matricula",$A$15,"sost","Estatal","entidad","Jalisco","Año",2018))-1)*100</f>
        <v>-8.7790251725821111</v>
      </c>
      <c r="J30" s="321">
        <f>GETPIVOTDATA("matricula",$A$15,"sost","Estatal","entidad","Jalisco","Año",2022)-GETPIVOTDATA("matricula",$A$15,"sost","Estatal","entidad","Jalisco","Año",2018)</f>
        <v>-1259</v>
      </c>
      <c r="K30" s="2"/>
      <c r="L30" s="2"/>
      <c r="M30" s="2"/>
    </row>
    <row r="31" spans="1:13">
      <c r="A31" s="51" t="s">
        <v>14</v>
      </c>
      <c r="B31" s="50">
        <v>47926</v>
      </c>
      <c r="C31" s="50">
        <v>47114</v>
      </c>
      <c r="D31" s="50">
        <v>47010</v>
      </c>
      <c r="E31" s="50">
        <v>48029</v>
      </c>
      <c r="F31" s="50">
        <v>50543</v>
      </c>
      <c r="G31" s="326">
        <f>((GETPIVOTDATA("matricula",$A$15,"sost","Estatal","entidad","México","Año",2022)/GETPIVOTDATA("matricula",$A$15,"sost","Estatal","entidad","México","Año",2021))-1)*100</f>
        <v>5.2343375877074161</v>
      </c>
      <c r="H31" s="322">
        <f>GETPIVOTDATA("matricula",$A$15,"sost","Estatal","entidad","México","Año",2022)-GETPIVOTDATA("matricula",$A$15,"sost","Estatal","entidad","México","Año",2021)</f>
        <v>2514</v>
      </c>
      <c r="I31" s="326">
        <f>((GETPIVOTDATA("matricula",$A$15,"sost","Estatal","entidad","México","Año",2022)/GETPIVOTDATA("matricula",$A$15,"sost","Estatal","entidad","México","Año",2018))-1)*100</f>
        <v>5.4605016066435752</v>
      </c>
      <c r="J31" s="322">
        <f>GETPIVOTDATA("matricula",$A$15,"sost","Estatal","entidad","México","Año",2022)-GETPIVOTDATA("matricula",$A$15,"sost","Estatal","entidad","México","Año",2018)</f>
        <v>2617</v>
      </c>
      <c r="K31" s="2"/>
      <c r="L31" s="2"/>
      <c r="M31" s="2"/>
    </row>
    <row r="32" spans="1:13">
      <c r="A32" s="51" t="s">
        <v>30</v>
      </c>
      <c r="B32" s="50">
        <v>11087</v>
      </c>
      <c r="C32" s="50">
        <v>11091</v>
      </c>
      <c r="D32" s="50">
        <v>11062</v>
      </c>
      <c r="E32" s="50">
        <v>10545</v>
      </c>
      <c r="F32" s="50">
        <v>11459</v>
      </c>
      <c r="G32" s="327">
        <f>((GETPIVOTDATA("matricula",$A$15,"sost","Estatal","entidad","Michoacán de Ocampo","Año",2022)/GETPIVOTDATA("matricula",$A$15,"sost","Estatal","entidad","Michoacán de Ocampo","Año",2021))-1)*100</f>
        <v>8.667614983404448</v>
      </c>
      <c r="H32" s="321">
        <f>GETPIVOTDATA("matricula",$A$15,"sost","Estatal","entidad","Michoacán de Ocampo","Año",2022)-GETPIVOTDATA("matricula",$A$15,"sost","Estatal","entidad","Michoacán de Ocampo","Año",2021)</f>
        <v>914</v>
      </c>
      <c r="I32" s="327">
        <f>((GETPIVOTDATA("matricula",$A$15,"sost","Estatal","entidad","Michoacán de Ocampo","Año",2022)/GETPIVOTDATA("matricula",$A$15,"sost","Estatal","entidad","Michoacán de Ocampo","Año",2018))-1)*100</f>
        <v>3.3552809596825162</v>
      </c>
      <c r="J32" s="321">
        <f>GETPIVOTDATA("matricula",$A$15,"sost","Estatal","entidad","Michoacán de Ocampo","Año",2022)-GETPIVOTDATA("matricula",$A$15,"sost","Estatal","entidad","Michoacán de Ocampo","Año",2018)</f>
        <v>372</v>
      </c>
      <c r="K32" s="2"/>
      <c r="L32" s="2"/>
      <c r="M32" s="2"/>
    </row>
    <row r="33" spans="1:13">
      <c r="A33" s="51" t="s">
        <v>15</v>
      </c>
      <c r="B33" s="50">
        <v>4640</v>
      </c>
      <c r="C33" s="50">
        <v>4522</v>
      </c>
      <c r="D33" s="50">
        <v>4340</v>
      </c>
      <c r="E33" s="50">
        <v>4277</v>
      </c>
      <c r="F33" s="50">
        <v>4790</v>
      </c>
      <c r="G33" s="326">
        <f>((GETPIVOTDATA("matricula",$A$15,"sost","Estatal","entidad","Morelos","Año",2022)/GETPIVOTDATA("matricula",$A$15,"sost","Estatal","entidad","Morelos","Año",2021))-1)*100</f>
        <v>11.994388590133266</v>
      </c>
      <c r="H33" s="322">
        <f>GETPIVOTDATA("matricula",$A$15,"sost","Estatal","entidad","Morelos","Año",2022)-GETPIVOTDATA("matricula",$A$15,"sost","Estatal","entidad","Morelos","Año",2021)</f>
        <v>513</v>
      </c>
      <c r="I33" s="326">
        <f>((GETPIVOTDATA("matricula",$A$15,"sost","Estatal","entidad","Morelos","Año",2022)/GETPIVOTDATA("matricula",$A$15,"sost","Estatal","entidad","Morelos","Año",2018))-1)*100</f>
        <v>3.2327586206896575</v>
      </c>
      <c r="J33" s="322">
        <f>GETPIVOTDATA("matricula",$A$15,"sost","Estatal","entidad","Morelos","Año",2022)-GETPIVOTDATA("matricula",$A$15,"sost","Estatal","entidad","Morelos","Año",2018)</f>
        <v>150</v>
      </c>
      <c r="K33" s="2"/>
      <c r="L33" s="2"/>
      <c r="M33" s="2"/>
    </row>
    <row r="34" spans="1:13">
      <c r="A34" s="51" t="s">
        <v>16</v>
      </c>
      <c r="B34" s="50">
        <v>2794</v>
      </c>
      <c r="C34" s="50">
        <v>2934</v>
      </c>
      <c r="D34" s="50">
        <v>2894</v>
      </c>
      <c r="E34" s="50">
        <v>2949</v>
      </c>
      <c r="F34" s="50">
        <v>3487</v>
      </c>
      <c r="G34" s="327">
        <f>((GETPIVOTDATA("matricula",$A$15,"sost","Estatal","entidad","Nayarit","Año",2022)/GETPIVOTDATA("matricula",$A$15,"sost","Estatal","entidad","Nayarit","Año",2021))-1)*100</f>
        <v>18.243472363513046</v>
      </c>
      <c r="H34" s="321">
        <f>GETPIVOTDATA("matricula",$A$15,"sost","Estatal","entidad","Nayarit","Año",2022)-GETPIVOTDATA("matricula",$A$15,"sost","Estatal","entidad","Nayarit","Año",2021)</f>
        <v>538</v>
      </c>
      <c r="I34" s="327">
        <f>((GETPIVOTDATA("matricula",$A$15,"sost","Estatal","entidad","Nayarit","Año",2022)/GETPIVOTDATA("matricula",$A$15,"sost","Estatal","entidad","Nayarit","Año",2018))-1)*100</f>
        <v>24.803149606299215</v>
      </c>
      <c r="J34" s="321">
        <f>GETPIVOTDATA("matricula",$A$15,"sost","Estatal","entidad","Nayarit","Año",2022)-GETPIVOTDATA("matricula",$A$15,"sost","Estatal","entidad","Nayarit","Año",2018)</f>
        <v>693</v>
      </c>
      <c r="K34" s="2"/>
      <c r="L34" s="2"/>
      <c r="M34" s="2"/>
    </row>
    <row r="35" spans="1:13">
      <c r="A35" s="51" t="s">
        <v>17</v>
      </c>
      <c r="B35" s="50">
        <v>21326</v>
      </c>
      <c r="C35" s="50">
        <v>22276</v>
      </c>
      <c r="D35" s="50">
        <v>21963</v>
      </c>
      <c r="E35" s="50">
        <v>23335</v>
      </c>
      <c r="F35" s="50">
        <v>21662</v>
      </c>
      <c r="G35" s="326">
        <f>((GETPIVOTDATA("matricula",$A$15,"sost","Estatal","entidad","Nuevo León","Año",2022)/GETPIVOTDATA("matricula",$A$15,"sost","Estatal","entidad","Nuevo León","Año",2021))-1)*100</f>
        <v>-7.1694878937218824</v>
      </c>
      <c r="H35" s="322">
        <f>GETPIVOTDATA("matricula",$A$15,"sost","Estatal","entidad","Nuevo León","Año",2022)-GETPIVOTDATA("matricula",$A$15,"sost","Estatal","entidad","Nuevo León","Año",2021)</f>
        <v>-1673</v>
      </c>
      <c r="I35" s="326">
        <f>((GETPIVOTDATA("matricula",$A$15,"sost","Estatal","entidad","Nuevo León","Año",2022)/GETPIVOTDATA("matricula",$A$15,"sost","Estatal","entidad","Nuevo León","Año",2018))-1)*100</f>
        <v>1.5755415924223914</v>
      </c>
      <c r="J35" s="322">
        <f>GETPIVOTDATA("matricula",$A$15,"sost","Estatal","entidad","Nuevo León","Año",2022)-GETPIVOTDATA("matricula",$A$15,"sost","Estatal","entidad","Nuevo León","Año",2018)</f>
        <v>336</v>
      </c>
      <c r="K35" s="2"/>
      <c r="L35" s="2"/>
      <c r="M35" s="2"/>
    </row>
    <row r="36" spans="1:13">
      <c r="A36" s="51" t="s">
        <v>18</v>
      </c>
      <c r="B36" s="50">
        <v>7310</v>
      </c>
      <c r="C36" s="50">
        <v>7203</v>
      </c>
      <c r="D36" s="50">
        <v>7329</v>
      </c>
      <c r="E36" s="50">
        <v>7616</v>
      </c>
      <c r="F36" s="50">
        <v>7645</v>
      </c>
      <c r="G36" s="327">
        <f>((GETPIVOTDATA("matricula",$A$15,"sost","Estatal","entidad","Puebla","Año",2022)/GETPIVOTDATA("matricula",$A$15,"sost","Estatal","entidad","Puebla","Año",2021))-1)*100</f>
        <v>0.38077731092436284</v>
      </c>
      <c r="H36" s="321">
        <f>GETPIVOTDATA("matricula",$A$15,"sost","Estatal","entidad","Puebla","Año",2022)-GETPIVOTDATA("matricula",$A$15,"sost","Estatal","entidad","Puebla","Año",2021)</f>
        <v>29</v>
      </c>
      <c r="I36" s="327">
        <f>((GETPIVOTDATA("matricula",$A$15,"sost","Estatal","entidad","Puebla","Año",2022)/GETPIVOTDATA("matricula",$A$15,"sost","Estatal","entidad","Puebla","Año",2018))-1)*100</f>
        <v>4.5827633378932919</v>
      </c>
      <c r="J36" s="321">
        <f>GETPIVOTDATA("matricula",$A$15,"sost","Estatal","entidad","Puebla","Año",2022)-GETPIVOTDATA("matricula",$A$15,"sost","Estatal","entidad","Puebla","Año",2018)</f>
        <v>335</v>
      </c>
      <c r="K36" s="2"/>
      <c r="L36" s="2"/>
      <c r="M36" s="2"/>
    </row>
    <row r="37" spans="1:13">
      <c r="A37" s="51" t="s">
        <v>29</v>
      </c>
      <c r="B37" s="50">
        <v>3473</v>
      </c>
      <c r="C37" s="50">
        <v>3388</v>
      </c>
      <c r="D37" s="50">
        <v>3502</v>
      </c>
      <c r="E37" s="50">
        <v>3548</v>
      </c>
      <c r="F37" s="50">
        <v>3851</v>
      </c>
      <c r="G37" s="326">
        <f>((GETPIVOTDATA("matricula",$A$15,"sost","Estatal","entidad","Querétaro de Arteaga","Año",2022)/GETPIVOTDATA("matricula",$A$15,"sost","Estatal","entidad","Querétaro de Arteaga","Año",2021))-1)*100</f>
        <v>8.5400225479143277</v>
      </c>
      <c r="H37" s="322">
        <f>GETPIVOTDATA("matricula",$A$15,"sost","Estatal","entidad","Querétaro de Arteaga","Año",2022)-GETPIVOTDATA("matricula",$A$15,"sost","Estatal","entidad","Querétaro de Arteaga","Año",2021)</f>
        <v>303</v>
      </c>
      <c r="I37" s="326">
        <f>((GETPIVOTDATA("matricula",$A$15,"sost","Estatal","entidad","Querétaro de Arteaga","Año",2022)/GETPIVOTDATA("matricula",$A$15,"sost","Estatal","entidad","Querétaro de Arteaga","Año",2018))-1)*100</f>
        <v>10.883961992513669</v>
      </c>
      <c r="J37" s="322">
        <f>GETPIVOTDATA("matricula",$A$15,"sost","Estatal","entidad","Querétaro de Arteaga","Año",2022)-GETPIVOTDATA("matricula",$A$15,"sost","Estatal","entidad","Querétaro de Arteaga","Año",2018)</f>
        <v>378</v>
      </c>
      <c r="K37" s="2"/>
      <c r="L37" s="2"/>
      <c r="M37" s="2"/>
    </row>
    <row r="38" spans="1:13">
      <c r="A38" s="51" t="s">
        <v>19</v>
      </c>
      <c r="B38" s="50">
        <v>8590</v>
      </c>
      <c r="C38" s="50">
        <v>8115</v>
      </c>
      <c r="D38" s="50">
        <v>8623</v>
      </c>
      <c r="E38" s="50">
        <v>9384</v>
      </c>
      <c r="F38" s="50">
        <v>9930</v>
      </c>
      <c r="G38" s="327">
        <f>((GETPIVOTDATA("matricula",$A$15,"sost","Estatal","entidad","Quintana Roo","Año",2022)/GETPIVOTDATA("matricula",$A$15,"sost","Estatal","entidad","Quintana Roo","Año",2021))-1)*100</f>
        <v>5.8184143222506313</v>
      </c>
      <c r="H38" s="321">
        <f>GETPIVOTDATA("matricula",$A$15,"sost","Estatal","entidad","Quintana Roo","Año",2022)-GETPIVOTDATA("matricula",$A$15,"sost","Estatal","entidad","Quintana Roo","Año",2021)</f>
        <v>546</v>
      </c>
      <c r="I38" s="327">
        <f>((GETPIVOTDATA("matricula",$A$15,"sost","Estatal","entidad","Quintana Roo","Año",2022)/GETPIVOTDATA("matricula",$A$15,"sost","Estatal","entidad","Quintana Roo","Año",2018))-1)*100</f>
        <v>15.599534342258448</v>
      </c>
      <c r="J38" s="321">
        <f>GETPIVOTDATA("matricula",$A$15,"sost","Estatal","entidad","Quintana Roo","Año",2022)-GETPIVOTDATA("matricula",$A$15,"sost","Estatal","entidad","Quintana Roo","Año",2018)</f>
        <v>1340</v>
      </c>
      <c r="K38" s="2"/>
      <c r="L38" s="2"/>
      <c r="M38" s="2"/>
    </row>
    <row r="39" spans="1:13">
      <c r="A39" s="51" t="s">
        <v>20</v>
      </c>
      <c r="B39" s="50">
        <v>5259</v>
      </c>
      <c r="C39" s="50">
        <v>5119</v>
      </c>
      <c r="D39" s="50">
        <v>4774</v>
      </c>
      <c r="E39" s="50">
        <v>4786</v>
      </c>
      <c r="F39" s="50">
        <v>5213</v>
      </c>
      <c r="G39" s="326">
        <f>((GETPIVOTDATA("matricula",$A$15,"sost","Estatal","entidad","San Luis Potosí","Año",2022)/GETPIVOTDATA("matricula",$A$15,"sost","Estatal","entidad","San Luis Potosí","Año",2021))-1)*100</f>
        <v>8.9218554116172086</v>
      </c>
      <c r="H39" s="322">
        <f>GETPIVOTDATA("matricula",$A$15,"sost","Estatal","entidad","San Luis Potosí","Año",2022)-GETPIVOTDATA("matricula",$A$15,"sost","Estatal","entidad","San Luis Potosí","Año",2021)</f>
        <v>427</v>
      </c>
      <c r="I39" s="326">
        <f>((GETPIVOTDATA("matricula",$A$15,"sost","Estatal","entidad","San Luis Potosí","Año",2022)/GETPIVOTDATA("matricula",$A$15,"sost","Estatal","entidad","San Luis Potosí","Año",2018))-1)*100</f>
        <v>-0.87469100589465665</v>
      </c>
      <c r="J39" s="322">
        <f>GETPIVOTDATA("matricula",$A$15,"sost","Estatal","entidad","San Luis Potosí","Año",2022)-GETPIVOTDATA("matricula",$A$15,"sost","Estatal","entidad","San Luis Potosí","Año",2018)</f>
        <v>-46</v>
      </c>
      <c r="K39" s="2"/>
      <c r="L39" s="2"/>
      <c r="M39" s="2"/>
    </row>
    <row r="40" spans="1:13">
      <c r="A40" s="51" t="s">
        <v>21</v>
      </c>
      <c r="B40" s="50">
        <v>8604</v>
      </c>
      <c r="C40" s="50">
        <v>8646</v>
      </c>
      <c r="D40" s="50">
        <v>8184</v>
      </c>
      <c r="E40" s="50">
        <v>7922</v>
      </c>
      <c r="F40" s="50">
        <v>8555</v>
      </c>
      <c r="G40" s="327">
        <f>((GETPIVOTDATA("matricula",$A$15,"sost","Estatal","entidad","Sinaloa","Año",2022)/GETPIVOTDATA("matricula",$A$15,"sost","Estatal","entidad","Sinaloa","Año",2021))-1)*100</f>
        <v>7.9904064630143878</v>
      </c>
      <c r="H40" s="321">
        <f>GETPIVOTDATA("matricula",$A$15,"sost","Estatal","entidad","Sinaloa","Año",2022)-GETPIVOTDATA("matricula",$A$15,"sost","Estatal","entidad","Sinaloa","Año",2021)</f>
        <v>633</v>
      </c>
      <c r="I40" s="327">
        <f>((GETPIVOTDATA("matricula",$A$15,"sost","Estatal","entidad","Sinaloa","Año",2022)/GETPIVOTDATA("matricula",$A$15,"sost","Estatal","entidad","Sinaloa","Año",2018))-1)*100</f>
        <v>-0.56950255695025209</v>
      </c>
      <c r="J40" s="321">
        <f>GETPIVOTDATA("matricula",$A$15,"sost","Estatal","entidad","Sinaloa","Año",2022)-GETPIVOTDATA("matricula",$A$15,"sost","Estatal","entidad","Sinaloa","Año",2018)</f>
        <v>-49</v>
      </c>
      <c r="K40" s="2"/>
      <c r="L40" s="2"/>
      <c r="M40" s="2"/>
    </row>
    <row r="41" spans="1:13">
      <c r="A41" s="51" t="s">
        <v>22</v>
      </c>
      <c r="B41" s="50">
        <v>14826</v>
      </c>
      <c r="C41" s="50">
        <v>14848</v>
      </c>
      <c r="D41" s="50">
        <v>15455</v>
      </c>
      <c r="E41" s="50">
        <v>15407</v>
      </c>
      <c r="F41" s="50">
        <v>16098</v>
      </c>
      <c r="G41" s="326">
        <f>((GETPIVOTDATA("matricula",$A$15,"sost","Estatal","entidad","Sonora","Año",2022)/GETPIVOTDATA("matricula",$A$15,"sost","Estatal","entidad","Sonora","Año",2021))-1)*100</f>
        <v>4.4849743623028404</v>
      </c>
      <c r="H41" s="322">
        <f>GETPIVOTDATA("matricula",$A$15,"sost","Estatal","entidad","Sonora","Año",2022)-GETPIVOTDATA("matricula",$A$15,"sost","Estatal","entidad","Sonora","Año",2021)</f>
        <v>691</v>
      </c>
      <c r="I41" s="326">
        <f>((GETPIVOTDATA("matricula",$A$15,"sost","Estatal","entidad","Sonora","Año",2022)/GETPIVOTDATA("matricula",$A$15,"sost","Estatal","entidad","Sonora","Año",2018))-1)*100</f>
        <v>8.5795224605423002</v>
      </c>
      <c r="J41" s="322">
        <f>GETPIVOTDATA("matricula",$A$15,"sost","Estatal","entidad","Sonora","Año",2022)-GETPIVOTDATA("matricula",$A$15,"sost","Estatal","entidad","Sonora","Año",2018)</f>
        <v>1272</v>
      </c>
      <c r="K41" s="2"/>
      <c r="L41" s="2"/>
      <c r="M41" s="2"/>
    </row>
    <row r="42" spans="1:13">
      <c r="A42" s="51" t="s">
        <v>23</v>
      </c>
      <c r="B42" s="50">
        <v>5608</v>
      </c>
      <c r="C42" s="50">
        <v>5479</v>
      </c>
      <c r="D42" s="50">
        <v>5252</v>
      </c>
      <c r="E42" s="50">
        <v>5431</v>
      </c>
      <c r="F42" s="50">
        <v>5842</v>
      </c>
      <c r="G42" s="327">
        <f>((GETPIVOTDATA("matricula",$A$15,"sost","Estatal","entidad","Tabasco","Año",2022)/GETPIVOTDATA("matricula",$A$15,"sost","Estatal","entidad","Tabasco","Año",2021))-1)*100</f>
        <v>7.5676670962990134</v>
      </c>
      <c r="H42" s="321">
        <f>GETPIVOTDATA("matricula",$A$15,"sost","Estatal","entidad","Tabasco","Año",2022)-GETPIVOTDATA("matricula",$A$15,"sost","Estatal","entidad","Tabasco","Año",2021)</f>
        <v>411</v>
      </c>
      <c r="I42" s="327">
        <f>((GETPIVOTDATA("matricula",$A$15,"sost","Estatal","entidad","Tabasco","Año",2022)/GETPIVOTDATA("matricula",$A$15,"sost","Estatal","entidad","Tabasco","Año",2018))-1)*100</f>
        <v>4.1726105563480775</v>
      </c>
      <c r="J42" s="321">
        <f>GETPIVOTDATA("matricula",$A$15,"sost","Estatal","entidad","Tabasco","Año",2022)-GETPIVOTDATA("matricula",$A$15,"sost","Estatal","entidad","Tabasco","Año",2018)</f>
        <v>234</v>
      </c>
      <c r="K42" s="2"/>
      <c r="L42" s="2"/>
      <c r="M42" s="2"/>
    </row>
    <row r="43" spans="1:13">
      <c r="A43" s="51" t="s">
        <v>24</v>
      </c>
      <c r="B43" s="50">
        <v>8533</v>
      </c>
      <c r="C43" s="50">
        <v>7871</v>
      </c>
      <c r="D43" s="50">
        <v>7597</v>
      </c>
      <c r="E43" s="50">
        <v>6916</v>
      </c>
      <c r="F43" s="50">
        <v>7970</v>
      </c>
      <c r="G43" s="326">
        <f>((GETPIVOTDATA("matricula",$A$15,"sost","Estatal","entidad","Tamaulipas","Año",2022)/GETPIVOTDATA("matricula",$A$15,"sost","Estatal","entidad","Tamaulipas","Año",2021))-1)*100</f>
        <v>15.240023134759983</v>
      </c>
      <c r="H43" s="322">
        <f>GETPIVOTDATA("matricula",$A$15,"sost","Estatal","entidad","Tamaulipas","Año",2022)-GETPIVOTDATA("matricula",$A$15,"sost","Estatal","entidad","Tamaulipas","Año",2021)</f>
        <v>1054</v>
      </c>
      <c r="I43" s="326">
        <f>((GETPIVOTDATA("matricula",$A$15,"sost","Estatal","entidad","Tamaulipas","Año",2022)/GETPIVOTDATA("matricula",$A$15,"sost","Estatal","entidad","Tamaulipas","Año",2018))-1)*100</f>
        <v>-6.5979139810148801</v>
      </c>
      <c r="J43" s="322">
        <f>GETPIVOTDATA("matricula",$A$15,"sost","Estatal","entidad","Tamaulipas","Año",2022)-GETPIVOTDATA("matricula",$A$15,"sost","Estatal","entidad","Tamaulipas","Año",2018)</f>
        <v>-563</v>
      </c>
      <c r="K43" s="2"/>
      <c r="L43" s="2"/>
      <c r="M43" s="2"/>
    </row>
    <row r="44" spans="1:13">
      <c r="A44" s="51" t="s">
        <v>25</v>
      </c>
      <c r="B44" s="50">
        <v>3232</v>
      </c>
      <c r="C44" s="50">
        <v>3175</v>
      </c>
      <c r="D44" s="50">
        <v>3179</v>
      </c>
      <c r="E44" s="50">
        <v>3146</v>
      </c>
      <c r="F44" s="50">
        <v>3315</v>
      </c>
      <c r="G44" s="327">
        <f>((GETPIVOTDATA("matricula",$A$15,"sost","Estatal","entidad","Tlaxcala","Año",2022)/GETPIVOTDATA("matricula",$A$15,"sost","Estatal","entidad","Tlaxcala","Año",2021))-1)*100</f>
        <v>5.3719008264462742</v>
      </c>
      <c r="H44" s="321">
        <f>GETPIVOTDATA("matricula",$A$15,"sost","Estatal","entidad","Tlaxcala","Año",2022)-GETPIVOTDATA("matricula",$A$15,"sost","Estatal","entidad","Tlaxcala","Año",2021)</f>
        <v>169</v>
      </c>
      <c r="I44" s="327">
        <f>((GETPIVOTDATA("matricula",$A$15,"sost","Estatal","entidad","Tlaxcala","Año",2022)/GETPIVOTDATA("matricula",$A$15,"sost","Estatal","entidad","Tlaxcala","Año",2018))-1)*100</f>
        <v>2.5680693069306981</v>
      </c>
      <c r="J44" s="321">
        <f>GETPIVOTDATA("matricula",$A$15,"sost","Estatal","entidad","Tlaxcala","Año",2022)-GETPIVOTDATA("matricula",$A$15,"sost","Estatal","entidad","Tlaxcala","Año",2018)</f>
        <v>83</v>
      </c>
      <c r="K44" s="2"/>
      <c r="L44" s="2"/>
      <c r="M44" s="2"/>
    </row>
    <row r="45" spans="1:13">
      <c r="A45" s="51" t="s">
        <v>53</v>
      </c>
      <c r="B45" s="50">
        <v>8858</v>
      </c>
      <c r="C45" s="50">
        <v>9166</v>
      </c>
      <c r="D45" s="50">
        <v>10340</v>
      </c>
      <c r="E45" s="50">
        <v>11461</v>
      </c>
      <c r="F45" s="50">
        <v>12512</v>
      </c>
      <c r="G45" s="326">
        <f>((GETPIVOTDATA("matricula",$A$15,"sost","Estatal","entidad","Veracruz llave","Año",2022)/GETPIVOTDATA("matricula",$A$15,"sost","Estatal","entidad","Veracruz llave","Año",2021))-1)*100</f>
        <v>9.1702294738678969</v>
      </c>
      <c r="H45" s="322">
        <f>GETPIVOTDATA("matricula",$A$15,"sost","Estatal","entidad","Veracruz llave","Año",2022)-GETPIVOTDATA("matricula",$A$15,"sost","Estatal","entidad","Veracruz llave","Año",2021)</f>
        <v>1051</v>
      </c>
      <c r="I45" s="326">
        <f>((GETPIVOTDATA("matricula",$A$15,"sost","Estatal","entidad","Veracruz llave","Año",2022)/GETPIVOTDATA("matricula",$A$15,"sost","Estatal","entidad","Veracruz llave","Año",2018))-1)*100</f>
        <v>41.250846692255585</v>
      </c>
      <c r="J45" s="322">
        <f>GETPIVOTDATA("matricula",$A$15,"sost","Estatal","entidad","Veracruz llave","Año",2022)-GETPIVOTDATA("matricula",$A$15,"sost","Estatal","entidad","Veracruz llave","Año",2018)</f>
        <v>3654</v>
      </c>
      <c r="K45" s="2"/>
      <c r="L45" s="2"/>
      <c r="M45" s="2"/>
    </row>
    <row r="46" spans="1:13">
      <c r="A46" s="51" t="s">
        <v>26</v>
      </c>
      <c r="B46" s="50">
        <v>5303</v>
      </c>
      <c r="C46" s="50">
        <v>5231</v>
      </c>
      <c r="D46" s="50">
        <v>5397</v>
      </c>
      <c r="E46" s="50">
        <v>5289</v>
      </c>
      <c r="F46" s="50">
        <v>5523</v>
      </c>
      <c r="G46" s="327">
        <f>((GETPIVOTDATA("matricula",$A$15,"sost","Estatal","entidad","Yucatán","Año",2022)/GETPIVOTDATA("matricula",$A$15,"sost","Estatal","entidad","Yucatán","Año",2021))-1)*100</f>
        <v>4.4242768009075339</v>
      </c>
      <c r="H46" s="321">
        <f>GETPIVOTDATA("matricula",$A$15,"sost","Estatal","entidad","Yucatán","Año",2022)-GETPIVOTDATA("matricula",$A$15,"sost","Estatal","entidad","Yucatán","Año",2021)</f>
        <v>234</v>
      </c>
      <c r="I46" s="327">
        <f>((GETPIVOTDATA("matricula",$A$15,"sost","Estatal","entidad","Yucatán","Año",2022)/GETPIVOTDATA("matricula",$A$15,"sost","Estatal","entidad","Yucatán","Año",2018))-1)*100</f>
        <v>4.1485951348293471</v>
      </c>
      <c r="J46" s="321">
        <f>GETPIVOTDATA("matricula",$A$15,"sost","Estatal","entidad","Yucatán","Año",2022)-GETPIVOTDATA("matricula",$A$15,"sost","Estatal","entidad","Yucatán","Año",2018)</f>
        <v>220</v>
      </c>
      <c r="K46" s="2"/>
      <c r="L46" s="2"/>
      <c r="M46" s="2"/>
    </row>
    <row r="47" spans="1:13">
      <c r="A47" s="51" t="s">
        <v>27</v>
      </c>
      <c r="B47" s="50">
        <v>1538</v>
      </c>
      <c r="C47" s="50">
        <v>1468</v>
      </c>
      <c r="D47" s="50">
        <v>1312</v>
      </c>
      <c r="E47" s="50">
        <v>1419</v>
      </c>
      <c r="F47" s="50">
        <v>1477</v>
      </c>
      <c r="G47" s="326">
        <f>((GETPIVOTDATA("matricula",$A$15,"sost","Estatal","entidad","Zacatecas","Año",2022)/GETPIVOTDATA("matricula",$A$15,"sost","Estatal","entidad","Zacatecas","Año",2021))-1)*100</f>
        <v>4.0873854827343292</v>
      </c>
      <c r="H47" s="322">
        <f>GETPIVOTDATA("matricula",$A$15,"sost","Estatal","entidad","Zacatecas","Año",2022)-GETPIVOTDATA("matricula",$A$15,"sost","Estatal","entidad","Zacatecas","Año",2021)</f>
        <v>58</v>
      </c>
      <c r="I47" s="326">
        <f>((GETPIVOTDATA("matricula",$A$15,"sost","Estatal","entidad","Zacatecas","Año",2022)/GETPIVOTDATA("matricula",$A$15,"sost","Estatal","entidad","Zacatecas","Año",2018))-1)*100</f>
        <v>-3.9661898569570919</v>
      </c>
      <c r="J47" s="322">
        <f>GETPIVOTDATA("matricula",$A$15,"sost","Estatal","entidad","Zacatecas","Año",2022)-GETPIVOTDATA("matricula",$A$15,"sost","Estatal","entidad","Zacatecas","Año",2018)</f>
        <v>-61</v>
      </c>
      <c r="K47" s="2"/>
      <c r="L47" s="2"/>
      <c r="M47" s="2"/>
    </row>
    <row r="48" spans="1:13">
      <c r="A48" s="49" t="s">
        <v>50</v>
      </c>
      <c r="B48" s="87">
        <v>50276</v>
      </c>
      <c r="C48" s="87">
        <v>50231</v>
      </c>
      <c r="D48" s="87">
        <v>51851</v>
      </c>
      <c r="E48" s="87">
        <v>52315</v>
      </c>
      <c r="F48" s="87">
        <v>51327</v>
      </c>
      <c r="G48" s="328">
        <f>((GETPIVOTDATA("matricula",$A$15,"sost","Federal","Año",2022)/GETPIVOTDATA("matricula",$A$15,"sost","Federal","Año",2021))-1)*100</f>
        <v>-1.8885596865143794</v>
      </c>
      <c r="H48" s="323">
        <f>GETPIVOTDATA("matricula",$A$15,"sost","Federal","Año",2022)-GETPIVOTDATA("matricula",$A$15,"sost","Federal","Año",2021)</f>
        <v>-988</v>
      </c>
      <c r="I48" s="328">
        <f>((GETPIVOTDATA("matricula",$A$15,"sost","Federal","Año",2022)/GETPIVOTDATA("matricula",$A$15,"sost","Federal","Año",2018))-1)*100</f>
        <v>2.0904606571723994</v>
      </c>
      <c r="J48" s="323">
        <f>GETPIVOTDATA("matricula",$A$15,"sost","Federal","Año",2022)-GETPIVOTDATA("matricula",$A$15,"sost","Federal","Año",2018)</f>
        <v>1051</v>
      </c>
      <c r="K48" s="2"/>
      <c r="L48" s="2"/>
      <c r="M48" s="2"/>
    </row>
    <row r="49" spans="1:13">
      <c r="A49" s="51" t="s">
        <v>32</v>
      </c>
      <c r="B49" s="50">
        <v>44161</v>
      </c>
      <c r="C49" s="50">
        <v>43931</v>
      </c>
      <c r="D49" s="50">
        <v>45497</v>
      </c>
      <c r="E49" s="50">
        <v>46483</v>
      </c>
      <c r="F49" s="50">
        <v>44777</v>
      </c>
      <c r="G49" s="326">
        <f>((GETPIVOTDATA("matricula",$A$15,"sost","Federal","entidad","Ciudad de México","Año",2022)/GETPIVOTDATA("matricula",$A$15,"sost","Federal","entidad","Ciudad de México","Año",2021))-1)*100</f>
        <v>-3.6701589828539438</v>
      </c>
      <c r="H49" s="322">
        <f>GETPIVOTDATA("matricula",$A$15,"sost","Federal","entidad","Ciudad de México","Año",2022)-GETPIVOTDATA("matricula",$A$15,"sost","Federal","entidad","Ciudad de México","Año",2021)</f>
        <v>-1706</v>
      </c>
      <c r="I49" s="326">
        <f>((GETPIVOTDATA("matricula",$A$15,"sost","Federal","entidad","Ciudad de México","Año",2022)/GETPIVOTDATA("matricula",$A$15,"sost","Federal","entidad","Ciudad de México","Año",2018))-1)*100</f>
        <v>1.3948959489141988</v>
      </c>
      <c r="J49" s="322">
        <f>GETPIVOTDATA("matricula",$A$15,"sost","Federal","entidad","Ciudad de México","Año",2022)-GETPIVOTDATA("matricula",$A$15,"sost","Federal","entidad","Ciudad de México","Año",2018)</f>
        <v>616</v>
      </c>
      <c r="K49" s="2"/>
      <c r="L49" s="2"/>
      <c r="M49" s="2"/>
    </row>
    <row r="50" spans="1:13">
      <c r="A50" s="51" t="s">
        <v>28</v>
      </c>
      <c r="B50" s="50">
        <v>6115</v>
      </c>
      <c r="C50" s="50">
        <v>6300</v>
      </c>
      <c r="D50" s="50">
        <v>6354</v>
      </c>
      <c r="E50" s="50">
        <v>5832</v>
      </c>
      <c r="F50" s="50">
        <v>6550</v>
      </c>
      <c r="G50" s="327">
        <f>((GETPIVOTDATA("matricula",$A$15,"sost","Federal","entidad","Oaxaca","Año",2022)/GETPIVOTDATA("matricula",$A$15,"sost","Federal","entidad","Oaxaca","Año",2021))-1)*100</f>
        <v>12.311385459533607</v>
      </c>
      <c r="H50" s="321">
        <f>GETPIVOTDATA("matricula",$A$15,"sost","Federal","entidad","Oaxaca","Año",2022)-GETPIVOTDATA("matricula",$A$15,"sost","Federal","entidad","Oaxaca","Año",2021)</f>
        <v>718</v>
      </c>
      <c r="I50" s="327">
        <f>((GETPIVOTDATA("matricula",$A$15,"sost","Federal","entidad","Oaxaca","Año",2022)/GETPIVOTDATA("matricula",$A$15,"sost","Federal","entidad","Oaxaca","Año",2018))-1)*100</f>
        <v>7.1136549468520105</v>
      </c>
      <c r="J50" s="321">
        <f>GETPIVOTDATA("matricula",$A$15,"sost","Federal","entidad","Oaxaca","Año",2022)-GETPIVOTDATA("matricula",$A$15,"sost","Federal","entidad","Oaxaca","Año",2018)</f>
        <v>435</v>
      </c>
      <c r="K50" s="2"/>
      <c r="L50" s="2"/>
      <c r="M50" s="2"/>
    </row>
    <row r="51" spans="1:13" ht="15" hidden="1">
      <c r="A51" s="51" t="s">
        <v>39</v>
      </c>
      <c r="B51" s="50">
        <v>0</v>
      </c>
      <c r="C51" s="50">
        <v>0</v>
      </c>
      <c r="D51" s="50">
        <v>0</v>
      </c>
      <c r="E51" s="50">
        <v>0</v>
      </c>
      <c r="F51" s="50">
        <v>0</v>
      </c>
      <c r="G51" s="291"/>
      <c r="H51"/>
      <c r="I51" s="291"/>
      <c r="J51" s="291"/>
    </row>
    <row r="52" spans="1:13" ht="15" hidden="1">
      <c r="A52" s="49" t="s">
        <v>124</v>
      </c>
      <c r="B52" s="50">
        <v>0</v>
      </c>
      <c r="C52" s="50">
        <v>0</v>
      </c>
      <c r="D52" s="50">
        <v>0</v>
      </c>
      <c r="E52" s="50">
        <v>0</v>
      </c>
      <c r="F52" s="50">
        <v>0</v>
      </c>
      <c r="G52" s="291"/>
      <c r="H52"/>
      <c r="I52" s="291"/>
      <c r="J52" s="291"/>
    </row>
    <row r="53" spans="1:13" ht="15" hidden="1">
      <c r="A53" s="51" t="s">
        <v>40</v>
      </c>
      <c r="B53" s="50">
        <v>0</v>
      </c>
      <c r="C53" s="50">
        <v>0</v>
      </c>
      <c r="D53" s="50">
        <v>0</v>
      </c>
      <c r="E53" s="50">
        <v>0</v>
      </c>
      <c r="F53" s="50">
        <v>0</v>
      </c>
      <c r="G53" s="291"/>
      <c r="H53"/>
      <c r="I53" s="291"/>
      <c r="J53" s="291"/>
    </row>
    <row r="54" spans="1:13" hidden="1">
      <c r="A54" s="49" t="s">
        <v>37</v>
      </c>
      <c r="B54" s="50">
        <v>307859</v>
      </c>
      <c r="C54" s="50">
        <v>306089</v>
      </c>
      <c r="D54" s="50">
        <v>307031</v>
      </c>
      <c r="E54" s="50">
        <v>309717</v>
      </c>
      <c r="F54" s="87">
        <v>321053</v>
      </c>
      <c r="G54" s="330">
        <f>((GETPIVOTDATA("matricula",$A$15,"Año",2022)/GETPIVOTDATA("matricula",$A$15,"Año",2021))-1)*100</f>
        <v>3.6601155248178197</v>
      </c>
      <c r="H54" s="329">
        <f>GETPIVOTDATA("matricula",$A$15,"Año",2022)-GETPIVOTDATA("matricula",$A$15,"Año",2021)</f>
        <v>11336</v>
      </c>
      <c r="I54" s="330">
        <f>((GETPIVOTDATA("matricula",$A$15,"Año",2022)/GETPIVOTDATA("matricula",$A$15,"Año",2018))-1)*100</f>
        <v>4.2857282067439995</v>
      </c>
      <c r="J54" s="329">
        <f>GETPIVOTDATA("matricula",$A$15,"Año",2022)-GETPIVOTDATA("matricula",$A$15,"Año",2018)</f>
        <v>13194</v>
      </c>
    </row>
    <row r="55" spans="1:13" ht="8.1" customHeight="1"/>
    <row r="56" spans="1:13" ht="18" customHeight="1">
      <c r="A56" s="368" t="s">
        <v>43</v>
      </c>
      <c r="B56" s="368"/>
      <c r="C56" s="368"/>
      <c r="D56" s="368"/>
      <c r="E56" s="368"/>
      <c r="F56" s="368"/>
    </row>
    <row r="57" spans="1:13" ht="51" customHeight="1"/>
  </sheetData>
  <mergeCells count="4">
    <mergeCell ref="B14:D14"/>
    <mergeCell ref="E14:F14"/>
    <mergeCell ref="A56:F56"/>
    <mergeCell ref="A5:J5"/>
  </mergeCells>
  <printOptions horizontalCentered="1"/>
  <pageMargins left="0.70866141732283472" right="0.70866141732283472" top="0.74803149606299213" bottom="0.74803149606299213" header="0.31496062992125984" footer="0.31496062992125984"/>
  <pageSetup paperSize="9" scale="82" orientation="portrait" r:id="rId2"/>
  <drawing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56"/>
  <sheetViews>
    <sheetView showGridLines="0" view="pageBreakPreview" topLeftCell="A40" zoomScaleNormal="120" zoomScaleSheetLayoutView="100" workbookViewId="0">
      <selection activeCell="L39" sqref="L39"/>
    </sheetView>
  </sheetViews>
  <sheetFormatPr baseColWidth="10" defaultColWidth="11.42578125" defaultRowHeight="13.5"/>
  <cols>
    <col min="1" max="1" width="23.5703125" style="48" customWidth="1"/>
    <col min="2" max="8" width="9.5703125" style="48" customWidth="1"/>
    <col min="9" max="9" width="11.5703125" style="48" bestFit="1" customWidth="1"/>
    <col min="10" max="10" width="15.140625" style="48" bestFit="1"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H1" s="64" t="s">
        <v>48</v>
      </c>
    </row>
    <row r="2" spans="1:11" s="3" customFormat="1" ht="15" customHeight="1">
      <c r="B2" s="1"/>
      <c r="C2" s="1"/>
      <c r="D2" s="1"/>
      <c r="E2" s="1"/>
      <c r="H2" s="6" t="s">
        <v>42</v>
      </c>
    </row>
    <row r="3" spans="1:11" s="3" customFormat="1" ht="9.6" customHeight="1">
      <c r="B3" s="1"/>
      <c r="C3" s="1"/>
      <c r="D3" s="1"/>
      <c r="E3" s="1"/>
      <c r="F3" s="1"/>
    </row>
    <row r="4" spans="1:11" s="3" customFormat="1" ht="6" customHeight="1">
      <c r="B4" s="1"/>
      <c r="C4" s="1"/>
      <c r="D4" s="1"/>
      <c r="E4" s="1"/>
      <c r="F4" s="1"/>
    </row>
    <row r="5" spans="1:11" s="3" customFormat="1" ht="13.15" customHeight="1">
      <c r="A5" s="367" t="s">
        <v>164</v>
      </c>
      <c r="B5" s="367"/>
      <c r="C5" s="367"/>
      <c r="D5" s="367"/>
      <c r="E5" s="367"/>
      <c r="F5" s="367"/>
      <c r="G5" s="367"/>
      <c r="H5" s="367"/>
    </row>
    <row r="6" spans="1:11" s="3" customFormat="1" ht="4.9000000000000004" customHeight="1">
      <c r="A6" s="122"/>
      <c r="B6" s="63"/>
      <c r="C6" s="65"/>
      <c r="D6" s="65"/>
      <c r="E6" s="66"/>
      <c r="F6" s="66"/>
    </row>
    <row r="7" spans="1:11" s="68" customFormat="1" ht="15" customHeight="1">
      <c r="A7" s="76" t="s">
        <v>45</v>
      </c>
      <c r="B7" s="76" t="s">
        <v>0</v>
      </c>
      <c r="C7" s="67"/>
      <c r="D7" s="67"/>
      <c r="E7" s="63"/>
      <c r="F7" s="63"/>
    </row>
    <row r="8" spans="1:11" s="68" customFormat="1" ht="15" customHeight="1">
      <c r="A8" s="77">
        <v>2018</v>
      </c>
      <c r="B8" s="96">
        <f>$B$54</f>
        <v>73.271848819497336</v>
      </c>
      <c r="C8" s="69"/>
      <c r="D8" s="67"/>
      <c r="E8" s="63"/>
      <c r="F8" s="63"/>
    </row>
    <row r="9" spans="1:11" s="68" customFormat="1" ht="15" customHeight="1">
      <c r="A9" s="77">
        <v>2019</v>
      </c>
      <c r="B9" s="96">
        <f>$C$54</f>
        <v>72.136359351432873</v>
      </c>
      <c r="C9" s="67"/>
      <c r="D9" s="67"/>
      <c r="E9" s="63"/>
      <c r="F9" s="63"/>
    </row>
    <row r="10" spans="1:11" s="68" customFormat="1" ht="15" customHeight="1">
      <c r="A10" s="77">
        <v>2020</v>
      </c>
      <c r="B10" s="96">
        <f>$D$54</f>
        <v>72.358361613876326</v>
      </c>
      <c r="C10" s="67"/>
      <c r="D10" s="67"/>
      <c r="E10" s="63"/>
      <c r="F10" s="63"/>
    </row>
    <row r="11" spans="1:11" s="68" customFormat="1" ht="15" customHeight="1">
      <c r="A11" s="77">
        <v>2021</v>
      </c>
      <c r="B11" s="96">
        <f>$E$54</f>
        <v>73.046462264150946</v>
      </c>
      <c r="C11" s="67"/>
      <c r="D11" s="67"/>
      <c r="E11" s="63"/>
      <c r="F11" s="63"/>
    </row>
    <row r="12" spans="1:11" s="68" customFormat="1" ht="15" customHeight="1">
      <c r="A12" s="77">
        <v>2022</v>
      </c>
      <c r="B12" s="96">
        <f>$F$54</f>
        <v>75.307984612497663</v>
      </c>
      <c r="C12" s="67"/>
      <c r="D12" s="67"/>
      <c r="E12" s="63"/>
      <c r="F12" s="63"/>
    </row>
    <row r="13" spans="1:11" s="68" customFormat="1" ht="15" customHeight="1">
      <c r="A13" s="79" t="s">
        <v>314</v>
      </c>
      <c r="B13" s="96">
        <f>B12-B11</f>
        <v>2.2615223483467162</v>
      </c>
      <c r="C13" s="67"/>
      <c r="D13" s="67"/>
      <c r="E13" s="63"/>
      <c r="F13" s="63"/>
    </row>
    <row r="14" spans="1:11" s="3" customFormat="1" ht="6.6" customHeight="1">
      <c r="A14" s="71"/>
      <c r="B14" s="365"/>
      <c r="C14" s="365"/>
      <c r="D14" s="365"/>
      <c r="E14" s="366"/>
      <c r="F14" s="366"/>
    </row>
    <row r="15" spans="1:11" hidden="1">
      <c r="A15" s="83" t="s">
        <v>163</v>
      </c>
      <c r="B15" s="47" t="s">
        <v>45</v>
      </c>
      <c r="G15" s="311"/>
      <c r="H15" s="311"/>
      <c r="I15" s="2"/>
      <c r="J15" s="2"/>
      <c r="K15" s="2"/>
    </row>
    <row r="16" spans="1:11" ht="27">
      <c r="A16" s="47" t="s">
        <v>156</v>
      </c>
      <c r="B16" s="48">
        <v>2018</v>
      </c>
      <c r="C16" s="48">
        <v>2019</v>
      </c>
      <c r="D16" s="48">
        <v>2020</v>
      </c>
      <c r="E16" s="48">
        <v>2021</v>
      </c>
      <c r="F16" s="48">
        <v>2022</v>
      </c>
      <c r="G16" s="313" t="s">
        <v>331</v>
      </c>
      <c r="H16" s="313" t="s">
        <v>332</v>
      </c>
      <c r="I16" s="2"/>
      <c r="J16" s="2"/>
      <c r="K16" s="2"/>
    </row>
    <row r="17" spans="1:11">
      <c r="A17" s="49" t="s">
        <v>49</v>
      </c>
      <c r="B17" s="75">
        <v>70.749011206328277</v>
      </c>
      <c r="C17" s="75">
        <v>69.541748206131771</v>
      </c>
      <c r="D17" s="75">
        <v>69.357469015003261</v>
      </c>
      <c r="E17" s="75">
        <v>69.885425716768026</v>
      </c>
      <c r="F17" s="75">
        <v>72.663254310344826</v>
      </c>
      <c r="G17" s="324">
        <f>GETPIVOTDATA("ACI",$A$15,"sost","Estatal","Año",2022)-GETPIVOTDATA("ACI",$A$15,"sost","Estatal","Año",2021)</f>
        <v>2.7778285935767997</v>
      </c>
      <c r="H17" s="324">
        <f>GETPIVOTDATA("ACI",$A$15,"sost","Estatal","Año",2022)-GETPIVOTDATA("ACI",$A$15,"sost","Estatal","Año",2018)</f>
        <v>1.9142431040165491</v>
      </c>
      <c r="I17" s="2"/>
      <c r="J17" s="2"/>
      <c r="K17" s="2"/>
    </row>
    <row r="18" spans="1:11">
      <c r="A18" s="51" t="s">
        <v>1</v>
      </c>
      <c r="B18" s="75">
        <v>69.80654761904762</v>
      </c>
      <c r="C18" s="75">
        <v>68.253012048192772</v>
      </c>
      <c r="D18" s="75">
        <v>68.23795180722891</v>
      </c>
      <c r="E18" s="75">
        <v>63.810240963855428</v>
      </c>
      <c r="F18" s="75">
        <v>66.777108433734938</v>
      </c>
      <c r="G18" s="327">
        <f>GETPIVOTDATA("ACI",$A$15,"sost","Estatal","entidad","Aguascalientes","Año",2022)-GETPIVOTDATA("ACI",$A$15,"sost","Estatal","entidad","Aguascalientes","Año",2021)</f>
        <v>2.9668674698795101</v>
      </c>
      <c r="H18" s="327">
        <f>GETPIVOTDATA("ACI",$A$15,"sost","Estatal","entidad","Aguascalientes","Año",2022)-GETPIVOTDATA("ACI",$A$15,"sost","Estatal","entidad","Aguascalientes","Año",2018)</f>
        <v>-3.0294391853126825</v>
      </c>
      <c r="I18" s="2"/>
      <c r="J18" s="2"/>
      <c r="K18" s="2"/>
    </row>
    <row r="19" spans="1:11">
      <c r="A19" s="51" t="s">
        <v>3</v>
      </c>
      <c r="B19" s="75">
        <v>84.61999999999999</v>
      </c>
      <c r="C19" s="75">
        <v>87.48</v>
      </c>
      <c r="D19" s="75">
        <v>86.21</v>
      </c>
      <c r="E19" s="75">
        <v>88.41</v>
      </c>
      <c r="F19" s="75">
        <v>92.259999999999991</v>
      </c>
      <c r="G19" s="326">
        <f>GETPIVOTDATA("ACI",$A$15,"sost","Estatal","entidad","Baja California","Año",2022)-GETPIVOTDATA("ACI",$A$15,"sost","Estatal","entidad","Baja California","Año",2021)</f>
        <v>3.8499999999999943</v>
      </c>
      <c r="H19" s="326">
        <f>GETPIVOTDATA("ACI",$A$15,"sost","Estatal","entidad","Baja California","Año",2022)-GETPIVOTDATA("ACI",$A$15,"sost","Estatal","entidad","Baja California","Año",2018)</f>
        <v>7.6400000000000006</v>
      </c>
      <c r="I19" s="2"/>
      <c r="J19" s="2"/>
      <c r="K19" s="2"/>
    </row>
    <row r="20" spans="1:11">
      <c r="A20" s="51" t="s">
        <v>4</v>
      </c>
      <c r="B20" s="75">
        <v>117.84722222222221</v>
      </c>
      <c r="C20" s="75">
        <v>106.80555555555556</v>
      </c>
      <c r="D20" s="75">
        <v>104.51388888888889</v>
      </c>
      <c r="E20" s="75">
        <v>106.31944444444446</v>
      </c>
      <c r="F20" s="75">
        <v>63.484848484848492</v>
      </c>
      <c r="G20" s="327">
        <f>GETPIVOTDATA("ACI",$A$15,"sost","Estatal","entidad","Baja California Sur","Año",2022)-GETPIVOTDATA("ACI",$A$15,"sost","Estatal","entidad","Baja California Sur","Año",2021)</f>
        <v>-42.834595959595966</v>
      </c>
      <c r="H20" s="327">
        <f>GETPIVOTDATA("ACI",$A$15,"sost","Estatal","entidad","Baja California Sur","Año",2022)-GETPIVOTDATA("ACI",$A$15,"sost","Estatal","entidad","Baja California Sur","Año",2018)</f>
        <v>-54.362373737373723</v>
      </c>
      <c r="I20" s="2"/>
      <c r="J20" s="2"/>
      <c r="K20" s="2"/>
    </row>
    <row r="21" spans="1:11">
      <c r="A21" s="51" t="s">
        <v>5</v>
      </c>
      <c r="B21" s="75">
        <v>57.804878048780481</v>
      </c>
      <c r="C21" s="75">
        <v>62.596153846153847</v>
      </c>
      <c r="D21" s="75">
        <v>62.78846153846154</v>
      </c>
      <c r="E21" s="75">
        <v>62.083333333333336</v>
      </c>
      <c r="F21" s="75">
        <v>68.301282051282058</v>
      </c>
      <c r="G21" s="326">
        <f>GETPIVOTDATA("ACI",$A$15,"sost","Estatal","entidad","Campeche","Año",2022)-GETPIVOTDATA("ACI",$A$15,"sost","Estatal","entidad","Campeche","Año",2021)</f>
        <v>6.2179487179487225</v>
      </c>
      <c r="H21" s="326">
        <f>GETPIVOTDATA("ACI",$A$15,"sost","Estatal","entidad","Campeche","Año",2022)-GETPIVOTDATA("ACI",$A$15,"sost","Estatal","entidad","Campeche","Año",2018)</f>
        <v>10.496404002501578</v>
      </c>
      <c r="I21" s="2"/>
      <c r="J21" s="2"/>
      <c r="K21" s="2"/>
    </row>
    <row r="22" spans="1:11">
      <c r="A22" s="51" t="s">
        <v>6</v>
      </c>
      <c r="B22" s="75">
        <v>54.440993788819881</v>
      </c>
      <c r="C22" s="75">
        <v>51.7421875</v>
      </c>
      <c r="D22" s="75">
        <v>55.5078125</v>
      </c>
      <c r="E22" s="75">
        <v>66.3984375</v>
      </c>
      <c r="F22" s="75">
        <v>67.6015625</v>
      </c>
      <c r="G22" s="327">
        <f>GETPIVOTDATA("ACI",$A$15,"sost","Estatal","entidad","Chiapas","Año",2022)-GETPIVOTDATA("ACI",$A$15,"sost","Estatal","entidad","Chiapas","Año",2021)</f>
        <v>1.203125</v>
      </c>
      <c r="H22" s="327">
        <f>GETPIVOTDATA("ACI",$A$15,"sost","Estatal","entidad","Chiapas","Año",2022)-GETPIVOTDATA("ACI",$A$15,"sost","Estatal","entidad","Chiapas","Año",2018)</f>
        <v>13.160568711180119</v>
      </c>
      <c r="I22" s="2"/>
      <c r="J22" s="2"/>
      <c r="K22" s="2"/>
    </row>
    <row r="23" spans="1:11">
      <c r="A23" s="51" t="s">
        <v>7</v>
      </c>
      <c r="B23" s="75">
        <v>70.040849673202615</v>
      </c>
      <c r="C23" s="75">
        <v>71.939935064935071</v>
      </c>
      <c r="D23" s="75">
        <v>70.032467532467535</v>
      </c>
      <c r="E23" s="75">
        <v>67.662337662337663</v>
      </c>
      <c r="F23" s="75">
        <v>78.677419354838705</v>
      </c>
      <c r="G23" s="326">
        <f>GETPIVOTDATA("ACI",$A$15,"sost","Estatal","entidad","Chihuahua","Año",2022)-GETPIVOTDATA("ACI",$A$15,"sost","Estatal","entidad","Chihuahua","Año",2021)</f>
        <v>11.015081692501042</v>
      </c>
      <c r="H23" s="326">
        <f>GETPIVOTDATA("ACI",$A$15,"sost","Estatal","entidad","Chihuahua","Año",2022)-GETPIVOTDATA("ACI",$A$15,"sost","Estatal","entidad","Chihuahua","Año",2018)</f>
        <v>8.6365696816360895</v>
      </c>
      <c r="I23" s="2"/>
      <c r="J23" s="2"/>
      <c r="K23" s="2"/>
    </row>
    <row r="24" spans="1:11">
      <c r="A24" s="51" t="s">
        <v>31</v>
      </c>
      <c r="B24" s="75">
        <v>96.996268656716424</v>
      </c>
      <c r="C24" s="75">
        <v>97.266791044776127</v>
      </c>
      <c r="D24" s="75">
        <v>96.707089552238799</v>
      </c>
      <c r="E24" s="75">
        <v>93.731481481481481</v>
      </c>
      <c r="F24" s="75">
        <v>94.477611940298516</v>
      </c>
      <c r="G24" s="327">
        <f>GETPIVOTDATA("ACI",$A$15,"sost","Estatal","entidad","Coahuila de Zaragoza","Año",2022)-GETPIVOTDATA("ACI",$A$15,"sost","Estatal","entidad","Coahuila de Zaragoza","Año",2021)</f>
        <v>0.74613045881703499</v>
      </c>
      <c r="H24" s="327">
        <f>GETPIVOTDATA("ACI",$A$15,"sost","Estatal","entidad","Coahuila de Zaragoza","Año",2022)-GETPIVOTDATA("ACI",$A$15,"sost","Estatal","entidad","Coahuila de Zaragoza","Año",2018)</f>
        <v>-2.5186567164179081</v>
      </c>
      <c r="I24" s="2"/>
      <c r="J24" s="2"/>
      <c r="K24" s="2"/>
    </row>
    <row r="25" spans="1:11">
      <c r="A25" s="51" t="s">
        <v>8</v>
      </c>
      <c r="B25" s="75">
        <v>50.292553191489361</v>
      </c>
      <c r="C25" s="75">
        <v>51.436170212765951</v>
      </c>
      <c r="D25" s="75">
        <v>49.175531914893618</v>
      </c>
      <c r="E25" s="75">
        <v>46.808510638297875</v>
      </c>
      <c r="F25" s="75">
        <v>47.872340425531917</v>
      </c>
      <c r="G25" s="326">
        <f>GETPIVOTDATA("ACI",$A$15,"sost","Estatal","entidad","Colima","Año",2022)-GETPIVOTDATA("ACI",$A$15,"sost","Estatal","entidad","Colima","Año",2021)</f>
        <v>1.0638297872340416</v>
      </c>
      <c r="H25" s="326">
        <f>GETPIVOTDATA("ACI",$A$15,"sost","Estatal","entidad","Colima","Año",2022)-GETPIVOTDATA("ACI",$A$15,"sost","Estatal","entidad","Colima","Año",2018)</f>
        <v>-2.4202127659574444</v>
      </c>
      <c r="I25" s="2"/>
      <c r="J25" s="2"/>
      <c r="K25" s="2"/>
    </row>
    <row r="26" spans="1:11">
      <c r="A26" s="51" t="s">
        <v>9</v>
      </c>
      <c r="B26" s="75">
        <v>47.303921568627452</v>
      </c>
      <c r="C26" s="75">
        <v>46.274509803921568</v>
      </c>
      <c r="D26" s="75">
        <v>39.240196078431374</v>
      </c>
      <c r="E26" s="75">
        <v>39.38725490196078</v>
      </c>
      <c r="F26" s="75">
        <v>43.676470588235297</v>
      </c>
      <c r="G26" s="327">
        <f>GETPIVOTDATA("ACI",$A$15,"sost","Estatal","entidad","Durango","Año",2022)-GETPIVOTDATA("ACI",$A$15,"sost","Estatal","entidad","Durango","Año",2021)</f>
        <v>4.2892156862745168</v>
      </c>
      <c r="H26" s="327">
        <f>GETPIVOTDATA("ACI",$A$15,"sost","Estatal","entidad","Durango","Año",2022)-GETPIVOTDATA("ACI",$A$15,"sost","Estatal","entidad","Durango","Año",2018)</f>
        <v>-3.6274509803921546</v>
      </c>
      <c r="I26" s="2"/>
      <c r="J26" s="2"/>
      <c r="K26" s="2"/>
    </row>
    <row r="27" spans="1:11">
      <c r="A27" s="51" t="s">
        <v>10</v>
      </c>
      <c r="B27" s="75">
        <v>77.354948805460751</v>
      </c>
      <c r="C27" s="75">
        <v>73.697240259740255</v>
      </c>
      <c r="D27" s="75">
        <v>70.880681818181827</v>
      </c>
      <c r="E27" s="75">
        <v>66.810064935064943</v>
      </c>
      <c r="F27" s="75">
        <v>70.016181229773466</v>
      </c>
      <c r="G27" s="326">
        <f>GETPIVOTDATA("ACI",$A$15,"sost","Estatal","entidad","Guanajuato","Año",2022)-GETPIVOTDATA("ACI",$A$15,"sost","Estatal","entidad","Guanajuato","Año",2021)</f>
        <v>3.2061162947085222</v>
      </c>
      <c r="H27" s="326">
        <f>GETPIVOTDATA("ACI",$A$15,"sost","Estatal","entidad","Guanajuato","Año",2022)-GETPIVOTDATA("ACI",$A$15,"sost","Estatal","entidad","Guanajuato","Año",2018)</f>
        <v>-7.3387675756872852</v>
      </c>
      <c r="I27" s="2"/>
      <c r="J27" s="2"/>
      <c r="K27" s="2"/>
    </row>
    <row r="28" spans="1:11">
      <c r="A28" s="51" t="s">
        <v>11</v>
      </c>
      <c r="B28" s="75">
        <v>59.437984496124031</v>
      </c>
      <c r="C28" s="75">
        <v>56.604477611940297</v>
      </c>
      <c r="D28" s="75">
        <v>55.81156716417911</v>
      </c>
      <c r="E28" s="75">
        <v>54.272388059701491</v>
      </c>
      <c r="F28" s="75">
        <v>55.90485074626865</v>
      </c>
      <c r="G28" s="327">
        <f>GETPIVOTDATA("ACI",$A$15,"sost","Estatal","entidad","Guerrero","Año",2022)-GETPIVOTDATA("ACI",$A$15,"sost","Estatal","entidad","Guerrero","Año",2021)</f>
        <v>1.632462686567159</v>
      </c>
      <c r="H28" s="327">
        <f>GETPIVOTDATA("ACI",$A$15,"sost","Estatal","entidad","Guerrero","Año",2022)-GETPIVOTDATA("ACI",$A$15,"sost","Estatal","entidad","Guerrero","Año",2018)</f>
        <v>-3.5331337498553808</v>
      </c>
      <c r="I28" s="2"/>
      <c r="J28" s="2"/>
      <c r="K28" s="2"/>
    </row>
    <row r="29" spans="1:11">
      <c r="A29" s="51" t="s">
        <v>12</v>
      </c>
      <c r="B29" s="75">
        <v>63.749999999999993</v>
      </c>
      <c r="C29" s="75">
        <v>63.975694444444443</v>
      </c>
      <c r="D29" s="75">
        <v>65</v>
      </c>
      <c r="E29" s="75">
        <v>63.958333333333329</v>
      </c>
      <c r="F29" s="75">
        <v>67.447916666666657</v>
      </c>
      <c r="G29" s="326">
        <f>GETPIVOTDATA("ACI",$A$15,"sost","Estatal","entidad","Hidalgo","Año",2022)-GETPIVOTDATA("ACI",$A$15,"sost","Estatal","entidad","Hidalgo","Año",2021)</f>
        <v>3.4895833333333286</v>
      </c>
      <c r="H29" s="326">
        <f>GETPIVOTDATA("ACI",$A$15,"sost","Estatal","entidad","Hidalgo","Año",2022)-GETPIVOTDATA("ACI",$A$15,"sost","Estatal","entidad","Hidalgo","Año",2018)</f>
        <v>3.6979166666666643</v>
      </c>
      <c r="I29" s="2"/>
      <c r="J29" s="2"/>
      <c r="K29" s="2"/>
    </row>
    <row r="30" spans="1:11">
      <c r="A30" s="51" t="s">
        <v>13</v>
      </c>
      <c r="B30" s="75">
        <v>65.905330882352942</v>
      </c>
      <c r="C30" s="75">
        <v>63.159340659340657</v>
      </c>
      <c r="D30" s="75">
        <v>62.312271062271066</v>
      </c>
      <c r="E30" s="75">
        <v>60.013736263736263</v>
      </c>
      <c r="F30" s="75">
        <v>59.899267399267394</v>
      </c>
      <c r="G30" s="327">
        <f>GETPIVOTDATA("ACI",$A$15,"sost","Estatal","entidad","Jalisco","Año",2022)-GETPIVOTDATA("ACI",$A$15,"sost","Estatal","entidad","Jalisco","Año",2021)</f>
        <v>-0.1144688644688685</v>
      </c>
      <c r="H30" s="327">
        <f>GETPIVOTDATA("ACI",$A$15,"sost","Estatal","entidad","Jalisco","Año",2022)-GETPIVOTDATA("ACI",$A$15,"sost","Estatal","entidad","Jalisco","Año",2018)</f>
        <v>-6.0060634830855477</v>
      </c>
      <c r="I30" s="2"/>
      <c r="J30" s="2"/>
      <c r="K30" s="2"/>
    </row>
    <row r="31" spans="1:11">
      <c r="A31" s="51" t="s">
        <v>14</v>
      </c>
      <c r="B31" s="75">
        <v>74.978097622027533</v>
      </c>
      <c r="C31" s="75">
        <v>74.171914357682624</v>
      </c>
      <c r="D31" s="75">
        <v>74.008186397984886</v>
      </c>
      <c r="E31" s="75">
        <v>75.803345959595958</v>
      </c>
      <c r="F31" s="75">
        <v>79.973101265822791</v>
      </c>
      <c r="G31" s="326">
        <f>GETPIVOTDATA("ACI",$A$15,"sost","Estatal","entidad","México","Año",2022)-GETPIVOTDATA("ACI",$A$15,"sost","Estatal","entidad","México","Año",2021)</f>
        <v>4.1697553062268327</v>
      </c>
      <c r="H31" s="326">
        <f>GETPIVOTDATA("ACI",$A$15,"sost","Estatal","entidad","México","Año",2022)-GETPIVOTDATA("ACI",$A$15,"sost","Estatal","entidad","México","Año",2018)</f>
        <v>4.9950036437952576</v>
      </c>
      <c r="I31" s="2"/>
      <c r="J31" s="2"/>
      <c r="K31" s="2"/>
    </row>
    <row r="32" spans="1:11">
      <c r="A32" s="51" t="s">
        <v>30</v>
      </c>
      <c r="B32" s="75">
        <v>62.709276018099544</v>
      </c>
      <c r="C32" s="75">
        <v>56.818647540983605</v>
      </c>
      <c r="D32" s="75">
        <v>56.670081967213115</v>
      </c>
      <c r="E32" s="75">
        <v>54.021516393442624</v>
      </c>
      <c r="F32" s="75">
        <v>58.464285714285715</v>
      </c>
      <c r="G32" s="327">
        <f>GETPIVOTDATA("ACI",$A$15,"sost","Estatal","entidad","Michoacán de Ocampo","Año",2022)-GETPIVOTDATA("ACI",$A$15,"sost","Estatal","entidad","Michoacán de Ocampo","Año",2021)</f>
        <v>4.442769320843091</v>
      </c>
      <c r="H32" s="327">
        <f>GETPIVOTDATA("ACI",$A$15,"sost","Estatal","entidad","Michoacán de Ocampo","Año",2022)-GETPIVOTDATA("ACI",$A$15,"sost","Estatal","entidad","Michoacán de Ocampo","Año",2018)</f>
        <v>-4.2449903038138288</v>
      </c>
      <c r="I32" s="2"/>
      <c r="J32" s="2"/>
      <c r="K32" s="2"/>
    </row>
    <row r="33" spans="1:11">
      <c r="A33" s="51" t="s">
        <v>15</v>
      </c>
      <c r="B33" s="75">
        <v>78.378378378378372</v>
      </c>
      <c r="C33" s="75">
        <v>76.385135135135144</v>
      </c>
      <c r="D33" s="75">
        <v>73.310810810810807</v>
      </c>
      <c r="E33" s="75">
        <v>72.246621621621614</v>
      </c>
      <c r="F33" s="75">
        <v>80.912162162162161</v>
      </c>
      <c r="G33" s="326">
        <f>GETPIVOTDATA("ACI",$A$15,"sost","Estatal","entidad","Morelos","Año",2022)-GETPIVOTDATA("ACI",$A$15,"sost","Estatal","entidad","Morelos","Año",2021)</f>
        <v>8.6655405405405475</v>
      </c>
      <c r="H33" s="326">
        <f>GETPIVOTDATA("ACI",$A$15,"sost","Estatal","entidad","Morelos","Año",2022)-GETPIVOTDATA("ACI",$A$15,"sost","Estatal","entidad","Morelos","Año",2018)</f>
        <v>2.5337837837837895</v>
      </c>
      <c r="I33" s="2"/>
      <c r="J33" s="2"/>
      <c r="K33" s="2"/>
    </row>
    <row r="34" spans="1:11">
      <c r="A34" s="51" t="s">
        <v>16</v>
      </c>
      <c r="B34" s="75">
        <v>59.194915254237287</v>
      </c>
      <c r="C34" s="75">
        <v>62.161016949152547</v>
      </c>
      <c r="D34" s="75">
        <v>61.313559322033896</v>
      </c>
      <c r="E34" s="75">
        <v>62.478813559322035</v>
      </c>
      <c r="F34" s="75">
        <v>73.877118644067792</v>
      </c>
      <c r="G34" s="327">
        <f>GETPIVOTDATA("ACI",$A$15,"sost","Estatal","entidad","Nayarit","Año",2022)-GETPIVOTDATA("ACI",$A$15,"sost","Estatal","entidad","Nayarit","Año",2021)</f>
        <v>11.398305084745758</v>
      </c>
      <c r="H34" s="327">
        <f>GETPIVOTDATA("ACI",$A$15,"sost","Estatal","entidad","Nayarit","Año",2022)-GETPIVOTDATA("ACI",$A$15,"sost","Estatal","entidad","Nayarit","Año",2018)</f>
        <v>14.682203389830505</v>
      </c>
      <c r="I34" s="2"/>
      <c r="J34" s="2"/>
      <c r="K34" s="2"/>
    </row>
    <row r="35" spans="1:11">
      <c r="A35" s="51" t="s">
        <v>17</v>
      </c>
      <c r="B35" s="75">
        <v>90.364406779661024</v>
      </c>
      <c r="C35" s="75">
        <v>93.439597315436245</v>
      </c>
      <c r="D35" s="75">
        <v>92.12667785234899</v>
      </c>
      <c r="E35" s="75">
        <v>97.881711409395976</v>
      </c>
      <c r="F35" s="75">
        <v>91.170033670033661</v>
      </c>
      <c r="G35" s="326">
        <f>GETPIVOTDATA("ACI",$A$15,"sost","Estatal","entidad","Nuevo León","Año",2022)-GETPIVOTDATA("ACI",$A$15,"sost","Estatal","entidad","Nuevo León","Año",2021)</f>
        <v>-6.7116777393623153</v>
      </c>
      <c r="H35" s="326">
        <f>GETPIVOTDATA("ACI",$A$15,"sost","Estatal","entidad","Nuevo León","Año",2022)-GETPIVOTDATA("ACI",$A$15,"sost","Estatal","entidad","Nuevo León","Año",2018)</f>
        <v>0.80562689037263624</v>
      </c>
      <c r="I35" s="2"/>
      <c r="J35" s="2"/>
      <c r="K35" s="2"/>
    </row>
    <row r="36" spans="1:11">
      <c r="A36" s="51" t="s">
        <v>18</v>
      </c>
      <c r="B36" s="75">
        <v>60.513245033112582</v>
      </c>
      <c r="C36" s="75">
        <v>59.627483443708606</v>
      </c>
      <c r="D36" s="75">
        <v>60.670529801324506</v>
      </c>
      <c r="E36" s="75">
        <v>62.222222222222221</v>
      </c>
      <c r="F36" s="75">
        <v>62.459150326797385</v>
      </c>
      <c r="G36" s="327">
        <f>GETPIVOTDATA("ACI",$A$15,"sost","Estatal","entidad","Puebla","Año",2022)-GETPIVOTDATA("ACI",$A$15,"sost","Estatal","entidad","Puebla","Año",2021)</f>
        <v>0.23692810457516345</v>
      </c>
      <c r="H36" s="327">
        <f>GETPIVOTDATA("ACI",$A$15,"sost","Estatal","entidad","Puebla","Año",2022)-GETPIVOTDATA("ACI",$A$15,"sost","Estatal","entidad","Puebla","Año",2018)</f>
        <v>1.9459052936848025</v>
      </c>
      <c r="I36" s="2"/>
      <c r="J36" s="2"/>
      <c r="K36" s="2"/>
    </row>
    <row r="37" spans="1:11">
      <c r="A37" s="51" t="s">
        <v>29</v>
      </c>
      <c r="B37" s="75">
        <v>64.794776119402982</v>
      </c>
      <c r="C37" s="75">
        <v>63.208955223880594</v>
      </c>
      <c r="D37" s="75">
        <v>65.335820895522389</v>
      </c>
      <c r="E37" s="75">
        <v>65.220588235294116</v>
      </c>
      <c r="F37" s="75">
        <v>65.941780821917803</v>
      </c>
      <c r="G37" s="326">
        <f>GETPIVOTDATA("ACI",$A$15,"sost","Estatal","entidad","Querétaro de Arteaga","Año",2022)-GETPIVOTDATA("ACI",$A$15,"sost","Estatal","entidad","Querétaro de Arteaga","Año",2021)</f>
        <v>0.72119258662368679</v>
      </c>
      <c r="H37" s="326">
        <f>GETPIVOTDATA("ACI",$A$15,"sost","Estatal","entidad","Querétaro de Arteaga","Año",2022)-GETPIVOTDATA("ACI",$A$15,"sost","Estatal","entidad","Querétaro de Arteaga","Año",2018)</f>
        <v>1.1470047025148205</v>
      </c>
      <c r="I37" s="2"/>
      <c r="J37" s="2"/>
      <c r="K37" s="2"/>
    </row>
    <row r="38" spans="1:11">
      <c r="A38" s="51" t="s">
        <v>19</v>
      </c>
      <c r="B38" s="75">
        <v>98.5091743119266</v>
      </c>
      <c r="C38" s="75">
        <v>89.767699115044252</v>
      </c>
      <c r="D38" s="75">
        <v>95.387168141592909</v>
      </c>
      <c r="E38" s="75">
        <v>103.80530973451327</v>
      </c>
      <c r="F38" s="75">
        <v>104.30672268907564</v>
      </c>
      <c r="G38" s="327">
        <f>GETPIVOTDATA("ACI",$A$15,"sost","Estatal","entidad","Quintana Roo","Año",2022)-GETPIVOTDATA("ACI",$A$15,"sost","Estatal","entidad","Quintana Roo","Año",2021)</f>
        <v>0.5014129545623689</v>
      </c>
      <c r="H38" s="327">
        <f>GETPIVOTDATA("ACI",$A$15,"sost","Estatal","entidad","Quintana Roo","Año",2022)-GETPIVOTDATA("ACI",$A$15,"sost","Estatal","entidad","Quintana Roo","Año",2018)</f>
        <v>5.7975483771490417</v>
      </c>
      <c r="I38" s="2"/>
      <c r="J38" s="2"/>
      <c r="K38" s="2"/>
    </row>
    <row r="39" spans="1:11">
      <c r="A39" s="51" t="s">
        <v>20</v>
      </c>
      <c r="B39" s="75">
        <v>66.401515151515156</v>
      </c>
      <c r="C39" s="75">
        <v>65.29336734693878</v>
      </c>
      <c r="D39" s="75">
        <v>60.892857142857139</v>
      </c>
      <c r="E39" s="75">
        <v>61.045918367346943</v>
      </c>
      <c r="F39" s="75">
        <v>66.492346938775512</v>
      </c>
      <c r="G39" s="326">
        <f>GETPIVOTDATA("ACI",$A$15,"sost","Estatal","entidad","San Luis Potosí","Año",2022)-GETPIVOTDATA("ACI",$A$15,"sost","Estatal","entidad","San Luis Potosí","Año",2021)</f>
        <v>5.4464285714285694</v>
      </c>
      <c r="H39" s="326">
        <f>GETPIVOTDATA("ACI",$A$15,"sost","Estatal","entidad","San Luis Potosí","Año",2022)-GETPIVOTDATA("ACI",$A$15,"sost","Estatal","entidad","San Luis Potosí","Año",2018)</f>
        <v>9.0831787260356123E-2</v>
      </c>
      <c r="I39" s="2"/>
      <c r="J39" s="2"/>
      <c r="K39" s="2"/>
    </row>
    <row r="40" spans="1:11">
      <c r="A40" s="51" t="s">
        <v>21</v>
      </c>
      <c r="B40" s="75">
        <v>45.96153846153846</v>
      </c>
      <c r="C40" s="75">
        <v>45.98936170212766</v>
      </c>
      <c r="D40" s="75">
        <v>43.531914893617021</v>
      </c>
      <c r="E40" s="75">
        <v>41.959745762711862</v>
      </c>
      <c r="F40" s="75">
        <v>45.3125</v>
      </c>
      <c r="G40" s="327">
        <f>GETPIVOTDATA("ACI",$A$15,"sost","Estatal","entidad","Sinaloa","Año",2022)-GETPIVOTDATA("ACI",$A$15,"sost","Estatal","entidad","Sinaloa","Año",2021)</f>
        <v>3.3527542372881385</v>
      </c>
      <c r="H40" s="327">
        <f>GETPIVOTDATA("ACI",$A$15,"sost","Estatal","entidad","Sinaloa","Año",2022)-GETPIVOTDATA("ACI",$A$15,"sost","Estatal","entidad","Sinaloa","Año",2018)</f>
        <v>-0.6490384615384599</v>
      </c>
      <c r="I40" s="2"/>
      <c r="J40" s="2"/>
      <c r="K40" s="2"/>
    </row>
    <row r="41" spans="1:11">
      <c r="A41" s="51" t="s">
        <v>22</v>
      </c>
      <c r="B41" s="75">
        <v>68.894052044609666</v>
      </c>
      <c r="C41" s="75">
        <v>70.037735849056602</v>
      </c>
      <c r="D41" s="75">
        <v>72.90094339622641</v>
      </c>
      <c r="E41" s="75">
        <v>72.401315789473685</v>
      </c>
      <c r="F41" s="75">
        <v>75.648496240601503</v>
      </c>
      <c r="G41" s="326">
        <f>GETPIVOTDATA("ACI",$A$15,"sost","Estatal","entidad","Sonora","Año",2022)-GETPIVOTDATA("ACI",$A$15,"sost","Estatal","entidad","Sonora","Año",2021)</f>
        <v>3.2471804511278179</v>
      </c>
      <c r="H41" s="326">
        <f>GETPIVOTDATA("ACI",$A$15,"sost","Estatal","entidad","Sonora","Año",2022)-GETPIVOTDATA("ACI",$A$15,"sost","Estatal","entidad","Sonora","Año",2018)</f>
        <v>6.7544441959918373</v>
      </c>
      <c r="I41" s="2"/>
      <c r="J41" s="2"/>
      <c r="K41" s="2"/>
    </row>
    <row r="42" spans="1:11">
      <c r="A42" s="51" t="s">
        <v>23</v>
      </c>
      <c r="B42" s="75">
        <v>79.659090909090907</v>
      </c>
      <c r="C42" s="75">
        <v>76.952247191011239</v>
      </c>
      <c r="D42" s="75">
        <v>73.764044943820224</v>
      </c>
      <c r="E42" s="75">
        <v>75.430555555555557</v>
      </c>
      <c r="F42" s="75">
        <v>81.1388888888889</v>
      </c>
      <c r="G42" s="327">
        <f>GETPIVOTDATA("ACI",$A$15,"sost","Estatal","entidad","Tabasco","Año",2022)-GETPIVOTDATA("ACI",$A$15,"sost","Estatal","entidad","Tabasco","Año",2021)</f>
        <v>5.7083333333333428</v>
      </c>
      <c r="H42" s="327">
        <f>GETPIVOTDATA("ACI",$A$15,"sost","Estatal","entidad","Tabasco","Año",2022)-GETPIVOTDATA("ACI",$A$15,"sost","Estatal","entidad","Tabasco","Año",2018)</f>
        <v>1.4797979797979934</v>
      </c>
      <c r="I42" s="2"/>
      <c r="J42" s="2"/>
      <c r="K42" s="2"/>
    </row>
    <row r="43" spans="1:11">
      <c r="A43" s="51" t="s">
        <v>24</v>
      </c>
      <c r="B43" s="75">
        <v>67.937898089171981</v>
      </c>
      <c r="C43" s="75">
        <v>59.992378048780495</v>
      </c>
      <c r="D43" s="75">
        <v>57.903963414634141</v>
      </c>
      <c r="E43" s="75">
        <v>52.713414634146339</v>
      </c>
      <c r="F43" s="75">
        <v>60.746951219512191</v>
      </c>
      <c r="G43" s="326">
        <f>GETPIVOTDATA("ACI",$A$15,"sost","Estatal","entidad","Tamaulipas","Año",2022)-GETPIVOTDATA("ACI",$A$15,"sost","Estatal","entidad","Tamaulipas","Año",2021)</f>
        <v>8.0335365853658516</v>
      </c>
      <c r="H43" s="326">
        <f>GETPIVOTDATA("ACI",$A$15,"sost","Estatal","entidad","Tamaulipas","Año",2022)-GETPIVOTDATA("ACI",$A$15,"sost","Estatal","entidad","Tamaulipas","Año",2018)</f>
        <v>-7.1909468696597898</v>
      </c>
      <c r="I43" s="2"/>
      <c r="J43" s="2"/>
      <c r="K43" s="2"/>
    </row>
    <row r="44" spans="1:11">
      <c r="A44" s="51" t="s">
        <v>25</v>
      </c>
      <c r="B44" s="75">
        <v>82.448979591836732</v>
      </c>
      <c r="C44" s="75">
        <v>80.994897959183675</v>
      </c>
      <c r="D44" s="75">
        <v>81.09693877551021</v>
      </c>
      <c r="E44" s="75">
        <v>80.255102040816325</v>
      </c>
      <c r="F44" s="75">
        <v>84.566326530612244</v>
      </c>
      <c r="G44" s="327">
        <f>GETPIVOTDATA("ACI",$A$15,"sost","Estatal","entidad","Tlaxcala","Año",2022)-GETPIVOTDATA("ACI",$A$15,"sost","Estatal","entidad","Tlaxcala","Año",2021)</f>
        <v>4.3112244897959187</v>
      </c>
      <c r="H44" s="327">
        <f>GETPIVOTDATA("ACI",$A$15,"sost","Estatal","entidad","Tlaxcala","Año",2022)-GETPIVOTDATA("ACI",$A$15,"sost","Estatal","entidad","Tlaxcala","Año",2018)</f>
        <v>2.1173469387755119</v>
      </c>
      <c r="I44" s="2"/>
      <c r="J44" s="2"/>
      <c r="K44" s="2"/>
    </row>
    <row r="45" spans="1:11">
      <c r="A45" s="51" t="s">
        <v>53</v>
      </c>
      <c r="B45" s="75">
        <v>63.635057471264368</v>
      </c>
      <c r="C45" s="75">
        <v>66.613372093023258</v>
      </c>
      <c r="D45" s="75">
        <v>75.145348837209298</v>
      </c>
      <c r="E45" s="75">
        <v>83.292151162790702</v>
      </c>
      <c r="F45" s="75">
        <v>85.464480874316934</v>
      </c>
      <c r="G45" s="326">
        <f>GETPIVOTDATA("ACI",$A$15,"sost","Estatal","entidad","Veracruz llave","Año",2022)-GETPIVOTDATA("ACI",$A$15,"sost","Estatal","entidad","Veracruz llave","Año",2021)</f>
        <v>2.1723297115262312</v>
      </c>
      <c r="H45" s="326">
        <f>GETPIVOTDATA("ACI",$A$15,"sost","Estatal","entidad","Veracruz llave","Año",2022)-GETPIVOTDATA("ACI",$A$15,"sost","Estatal","entidad","Veracruz llave","Año",2018)</f>
        <v>21.829423403052566</v>
      </c>
      <c r="I45" s="2"/>
      <c r="J45" s="2"/>
      <c r="K45" s="2"/>
    </row>
    <row r="46" spans="1:11">
      <c r="A46" s="51" t="s">
        <v>26</v>
      </c>
      <c r="B46" s="75">
        <v>96.068840579710141</v>
      </c>
      <c r="C46" s="75">
        <v>94.764492753623188</v>
      </c>
      <c r="D46" s="75">
        <v>97.771739130434781</v>
      </c>
      <c r="E46" s="75">
        <v>95.815217391304358</v>
      </c>
      <c r="F46" s="75">
        <v>100.05434782608695</v>
      </c>
      <c r="G46" s="327">
        <f>GETPIVOTDATA("ACI",$A$15,"sost","Estatal","entidad","Yucatán","Año",2022)-GETPIVOTDATA("ACI",$A$15,"sost","Estatal","entidad","Yucatán","Año",2021)</f>
        <v>4.2391304347825951</v>
      </c>
      <c r="H46" s="327">
        <f>GETPIVOTDATA("ACI",$A$15,"sost","Estatal","entidad","Yucatán","Año",2022)-GETPIVOTDATA("ACI",$A$15,"sost","Estatal","entidad","Yucatán","Año",2018)</f>
        <v>3.9855072463768124</v>
      </c>
      <c r="I46" s="2"/>
      <c r="J46" s="2"/>
      <c r="K46" s="2"/>
    </row>
    <row r="47" spans="1:11">
      <c r="A47" s="51" t="s">
        <v>27</v>
      </c>
      <c r="B47" s="75">
        <v>32.041666666666671</v>
      </c>
      <c r="C47" s="75">
        <v>30.583333333333336</v>
      </c>
      <c r="D47" s="75">
        <v>27.333333333333332</v>
      </c>
      <c r="E47" s="75">
        <v>29.562500000000004</v>
      </c>
      <c r="F47" s="75">
        <v>30.770833333333332</v>
      </c>
      <c r="G47" s="326">
        <f>GETPIVOTDATA("ACI",$A$15,"sost","Estatal","entidad","Zacatecas","Año",2022)-GETPIVOTDATA("ACI",$A$15,"sost","Estatal","entidad","Zacatecas","Año",2021)</f>
        <v>1.2083333333333286</v>
      </c>
      <c r="H47" s="326">
        <f>GETPIVOTDATA("ACI",$A$15,"sost","Estatal","entidad","Zacatecas","Año",2022)-GETPIVOTDATA("ACI",$A$15,"sost","Estatal","entidad","Zacatecas","Año",2018)</f>
        <v>-1.2708333333333393</v>
      </c>
      <c r="I47" s="2"/>
      <c r="J47" s="2"/>
      <c r="K47" s="2"/>
    </row>
    <row r="48" spans="1:11">
      <c r="A48" s="49" t="s">
        <v>50</v>
      </c>
      <c r="B48" s="80">
        <v>89.650499286733236</v>
      </c>
      <c r="C48" s="80">
        <v>89.062056737588662</v>
      </c>
      <c r="D48" s="80">
        <v>91.934397163120565</v>
      </c>
      <c r="E48" s="80">
        <v>93.956537356321832</v>
      </c>
      <c r="F48" s="80">
        <v>93.118650217706829</v>
      </c>
      <c r="G48" s="328">
        <f>GETPIVOTDATA("ACI",$A$15,"sost","Federal","Año",2022)-GETPIVOTDATA("ACI",$A$15,"sost","Federal","Año",2021)</f>
        <v>-0.83788713861500241</v>
      </c>
      <c r="H48" s="328">
        <f>GETPIVOTDATA("ACI",$A$15,"sost","Federal","Año",2022)-GETPIVOTDATA("ACI",$A$15,"sost","Federal","Año",2018)</f>
        <v>3.4681509309735929</v>
      </c>
      <c r="I48" s="2"/>
      <c r="J48" s="2"/>
      <c r="K48" s="2"/>
    </row>
    <row r="49" spans="1:11">
      <c r="A49" s="51" t="s">
        <v>32</v>
      </c>
      <c r="B49" s="75">
        <v>94.847508591065292</v>
      </c>
      <c r="C49" s="75">
        <v>94.030393835616451</v>
      </c>
      <c r="D49" s="75">
        <v>97.382277397260282</v>
      </c>
      <c r="E49" s="75">
        <v>101.05</v>
      </c>
      <c r="F49" s="75">
        <v>98.540933098591552</v>
      </c>
      <c r="G49" s="326">
        <f>GETPIVOTDATA("ACI",$A$15,"sost","Federal","entidad","Ciudad de México","Año",2022)-GETPIVOTDATA("ACI",$A$15,"sost","Federal","entidad","Ciudad de México","Año",2021)</f>
        <v>-2.5090669014084455</v>
      </c>
      <c r="H49" s="326">
        <f>GETPIVOTDATA("ACI",$A$15,"sost","Federal","entidad","Ciudad de México","Año",2022)-GETPIVOTDATA("ACI",$A$15,"sost","Federal","entidad","Ciudad de México","Año",2018)</f>
        <v>3.6934245075262595</v>
      </c>
      <c r="I49" s="2"/>
      <c r="J49" s="2"/>
      <c r="K49" s="2"/>
    </row>
    <row r="50" spans="1:11">
      <c r="A50" s="51" t="s">
        <v>28</v>
      </c>
      <c r="B50" s="75">
        <v>64.233193277310932</v>
      </c>
      <c r="C50" s="75">
        <v>65.082644628099175</v>
      </c>
      <c r="D50" s="75">
        <v>65.640495867768607</v>
      </c>
      <c r="E50" s="75">
        <v>60.247933884297524</v>
      </c>
      <c r="F50" s="75">
        <v>67.665289256198349</v>
      </c>
      <c r="G50" s="327">
        <f>GETPIVOTDATA("ACI",$A$15,"sost","Federal","entidad","Oaxaca","Año",2022)-GETPIVOTDATA("ACI",$A$15,"sost","Federal","entidad","Oaxaca","Año",2021)</f>
        <v>7.4173553719008254</v>
      </c>
      <c r="H50" s="327">
        <f>GETPIVOTDATA("ACI",$A$15,"sost","Federal","entidad","Oaxaca","Año",2022)-GETPIVOTDATA("ACI",$A$15,"sost","Federal","entidad","Oaxaca","Año",2018)</f>
        <v>3.4320959788874177</v>
      </c>
      <c r="I50" s="2"/>
      <c r="J50" s="2"/>
      <c r="K50" s="2"/>
    </row>
    <row r="51" spans="1:11" ht="15" hidden="1">
      <c r="A51" s="51" t="s">
        <v>39</v>
      </c>
      <c r="B51" s="75">
        <v>0</v>
      </c>
      <c r="C51" s="75">
        <v>0</v>
      </c>
      <c r="D51" s="75">
        <v>0</v>
      </c>
      <c r="E51" s="75">
        <v>0</v>
      </c>
      <c r="F51" s="75">
        <v>0</v>
      </c>
      <c r="G51"/>
    </row>
    <row r="52" spans="1:11" ht="15" hidden="1">
      <c r="A52" s="49" t="s">
        <v>124</v>
      </c>
      <c r="B52" s="75">
        <v>0</v>
      </c>
      <c r="C52" s="75">
        <v>0</v>
      </c>
      <c r="D52" s="75">
        <v>0</v>
      </c>
      <c r="E52" s="75">
        <v>0</v>
      </c>
      <c r="F52" s="75">
        <v>0</v>
      </c>
      <c r="G52"/>
    </row>
    <row r="53" spans="1:11" ht="15" hidden="1">
      <c r="A53" s="51" t="s">
        <v>40</v>
      </c>
      <c r="B53" s="75">
        <v>0</v>
      </c>
      <c r="C53" s="75">
        <v>0</v>
      </c>
      <c r="D53" s="75">
        <v>0</v>
      </c>
      <c r="E53" s="75">
        <v>0</v>
      </c>
      <c r="F53" s="75">
        <v>0</v>
      </c>
      <c r="G53"/>
    </row>
    <row r="54" spans="1:11" ht="15" hidden="1">
      <c r="A54" s="49" t="s">
        <v>37</v>
      </c>
      <c r="B54" s="75">
        <v>73.271848819497336</v>
      </c>
      <c r="C54" s="75">
        <v>72.136359351432873</v>
      </c>
      <c r="D54" s="75">
        <v>72.358361613876326</v>
      </c>
      <c r="E54" s="75">
        <v>73.046462264150946</v>
      </c>
      <c r="F54" s="75">
        <v>75.307984612497663</v>
      </c>
      <c r="G54"/>
    </row>
    <row r="55" spans="1:11" ht="8.1" customHeight="1"/>
    <row r="56" spans="1:11" ht="10.15" customHeight="1">
      <c r="A56" s="84" t="s">
        <v>265</v>
      </c>
      <c r="B56" s="85"/>
      <c r="C56" s="85"/>
      <c r="D56" s="85"/>
      <c r="E56" s="85"/>
      <c r="F56" s="85"/>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56"/>
  <sheetViews>
    <sheetView showGridLines="0" view="pageBreakPreview" topLeftCell="A5" zoomScale="130" zoomScaleNormal="120" zoomScaleSheetLayoutView="130" workbookViewId="0">
      <selection activeCell="L39" sqref="L39"/>
    </sheetView>
  </sheetViews>
  <sheetFormatPr baseColWidth="10" defaultColWidth="11.42578125" defaultRowHeight="13.5"/>
  <cols>
    <col min="1" max="1" width="23.5703125" style="48" customWidth="1"/>
    <col min="2" max="8" width="9.5703125" style="48" customWidth="1"/>
    <col min="9" max="9" width="11.5703125" style="48" bestFit="1" customWidth="1"/>
    <col min="10" max="10" width="15.140625" style="48" bestFit="1"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H1" s="64" t="s">
        <v>48</v>
      </c>
    </row>
    <row r="2" spans="1:11" s="3" customFormat="1" ht="15" customHeight="1">
      <c r="B2" s="1"/>
      <c r="C2" s="1"/>
      <c r="D2" s="1"/>
      <c r="E2" s="1"/>
      <c r="H2" s="6" t="s">
        <v>42</v>
      </c>
    </row>
    <row r="3" spans="1:11" s="3" customFormat="1" ht="15" customHeight="1">
      <c r="B3" s="1"/>
      <c r="C3" s="1"/>
      <c r="D3" s="1"/>
      <c r="E3" s="1"/>
      <c r="F3" s="1"/>
    </row>
    <row r="4" spans="1:11" s="3" customFormat="1" ht="5.25" customHeight="1">
      <c r="B4" s="1"/>
      <c r="C4" s="1"/>
      <c r="D4" s="1"/>
      <c r="E4" s="1"/>
      <c r="F4" s="1"/>
    </row>
    <row r="5" spans="1:11" s="3" customFormat="1" ht="15" customHeight="1">
      <c r="A5" s="367" t="s">
        <v>165</v>
      </c>
      <c r="B5" s="367"/>
      <c r="C5" s="367"/>
      <c r="D5" s="367"/>
      <c r="E5" s="367"/>
      <c r="F5" s="367"/>
      <c r="G5" s="367"/>
      <c r="H5" s="367"/>
    </row>
    <row r="6" spans="1:11" s="3" customFormat="1" ht="5.25" customHeight="1">
      <c r="A6" s="5"/>
      <c r="B6" s="63"/>
      <c r="C6" s="65"/>
      <c r="D6" s="65"/>
      <c r="E6" s="66"/>
      <c r="F6" s="66"/>
    </row>
    <row r="7" spans="1:11" s="68" customFormat="1" ht="15" customHeight="1">
      <c r="A7" s="76" t="s">
        <v>45</v>
      </c>
      <c r="B7" s="76" t="s">
        <v>0</v>
      </c>
      <c r="C7" s="67"/>
      <c r="D7" s="67"/>
      <c r="E7" s="63"/>
      <c r="F7" s="63"/>
    </row>
    <row r="8" spans="1:11" s="68" customFormat="1" ht="15" customHeight="1">
      <c r="A8" s="77">
        <v>2018</v>
      </c>
      <c r="B8" s="96">
        <f>$B$54</f>
        <v>16.319880955435263</v>
      </c>
      <c r="C8" s="69"/>
      <c r="D8" s="67"/>
      <c r="E8" s="63"/>
      <c r="F8" s="63"/>
    </row>
    <row r="9" spans="1:11" s="68" customFormat="1" ht="15" customHeight="1">
      <c r="A9" s="77">
        <v>2019</v>
      </c>
      <c r="B9" s="96">
        <f>$C$54</f>
        <v>15.580184435082289</v>
      </c>
      <c r="C9" s="67"/>
      <c r="D9" s="67"/>
      <c r="E9" s="63"/>
      <c r="F9" s="63"/>
    </row>
    <row r="10" spans="1:11" s="68" customFormat="1" ht="15" customHeight="1">
      <c r="A10" s="77">
        <v>2020</v>
      </c>
      <c r="B10" s="96">
        <f>$D$54</f>
        <v>12.691080045346293</v>
      </c>
      <c r="C10" s="67"/>
      <c r="D10" s="67"/>
      <c r="E10" s="63"/>
      <c r="F10" s="63"/>
    </row>
    <row r="11" spans="1:11" s="68" customFormat="1" ht="15" customHeight="1">
      <c r="A11" s="77">
        <v>2021</v>
      </c>
      <c r="B11" s="96">
        <f>$E$54</f>
        <v>14.848337789995147</v>
      </c>
      <c r="C11" s="67"/>
      <c r="D11" s="67"/>
      <c r="E11" s="63"/>
      <c r="F11" s="63"/>
    </row>
    <row r="12" spans="1:11" s="68" customFormat="1" ht="15" customHeight="1">
      <c r="A12" s="77">
        <v>2022</v>
      </c>
      <c r="B12" s="96">
        <f>$F$54</f>
        <v>13.953060374470883</v>
      </c>
      <c r="C12" s="67"/>
      <c r="D12" s="67"/>
      <c r="E12" s="63"/>
      <c r="F12" s="63"/>
    </row>
    <row r="13" spans="1:11" s="68" customFormat="1" ht="15" customHeight="1">
      <c r="A13" s="79" t="s">
        <v>314</v>
      </c>
      <c r="B13" s="96">
        <f>B12-B11</f>
        <v>-0.89527741552426399</v>
      </c>
      <c r="C13" s="67"/>
      <c r="D13" s="67"/>
      <c r="E13" s="63"/>
      <c r="F13" s="63"/>
    </row>
    <row r="14" spans="1:11" s="3" customFormat="1" ht="8.25" customHeight="1">
      <c r="A14" s="71"/>
      <c r="B14" s="365"/>
      <c r="C14" s="365"/>
      <c r="D14" s="365"/>
      <c r="E14" s="366"/>
      <c r="F14" s="366"/>
    </row>
    <row r="15" spans="1:11" hidden="1">
      <c r="A15" s="83" t="s">
        <v>166</v>
      </c>
      <c r="B15" s="47" t="s">
        <v>45</v>
      </c>
      <c r="G15" s="311"/>
      <c r="H15" s="311"/>
      <c r="I15" s="2"/>
      <c r="J15" s="2"/>
      <c r="K15" s="2"/>
    </row>
    <row r="16" spans="1:11" ht="27">
      <c r="A16" s="47" t="s">
        <v>156</v>
      </c>
      <c r="B16" s="48">
        <v>2018</v>
      </c>
      <c r="C16" s="48">
        <v>2019</v>
      </c>
      <c r="D16" s="48">
        <v>2020</v>
      </c>
      <c r="E16" s="48">
        <v>2021</v>
      </c>
      <c r="F16" s="48">
        <v>2022</v>
      </c>
      <c r="G16" s="313" t="s">
        <v>331</v>
      </c>
      <c r="H16" s="313" t="s">
        <v>332</v>
      </c>
      <c r="I16" s="2"/>
      <c r="J16" s="2"/>
      <c r="K16" s="2"/>
    </row>
    <row r="17" spans="1:11">
      <c r="A17" s="49" t="s">
        <v>49</v>
      </c>
      <c r="B17" s="75">
        <v>15.590068293878046</v>
      </c>
      <c r="C17" s="75">
        <v>14.453981823334615</v>
      </c>
      <c r="D17" s="75">
        <v>11.870646999507539</v>
      </c>
      <c r="E17" s="75">
        <v>14.749196645505137</v>
      </c>
      <c r="F17" s="75">
        <v>13.513492513655677</v>
      </c>
      <c r="G17" s="324">
        <f>GETPIVOTDATA("AE",$A$15,"sost","Estatal","Año",2022)-GETPIVOTDATA("AE",$A$15,"sost","Estatal","Año",2021)</f>
        <v>-1.2357041318494595</v>
      </c>
      <c r="H17" s="324">
        <f>GETPIVOTDATA("AE",$A$15,"sost","Estatal","Año",2022)-GETPIVOTDATA("AE",$A$15,"sost","Estatal","Año",2018)</f>
        <v>-2.0765757802223686</v>
      </c>
      <c r="I17" s="2"/>
      <c r="J17" s="2"/>
      <c r="K17" s="2"/>
    </row>
    <row r="18" spans="1:11">
      <c r="A18" s="51" t="s">
        <v>1</v>
      </c>
      <c r="B18" s="75">
        <v>9.1377091377091375</v>
      </c>
      <c r="C18" s="75">
        <v>10.850564911532723</v>
      </c>
      <c r="D18" s="75">
        <v>10.856134157105036</v>
      </c>
      <c r="E18" s="75">
        <v>16.596777753255353</v>
      </c>
      <c r="F18" s="75">
        <v>11.399575171111632</v>
      </c>
      <c r="G18" s="327">
        <f>GETPIVOTDATA("AE",$A$15,"sost","Estatal","entidad","Aguascalientes","Año",2022)-GETPIVOTDATA("AE",$A$15,"sost","Estatal","entidad","Aguascalientes","Año",2021)</f>
        <v>-5.1972025821437207</v>
      </c>
      <c r="H18" s="327">
        <f>GETPIVOTDATA("AE",$A$15,"sost","Estatal","entidad","Aguascalientes","Año",2022)-GETPIVOTDATA("AE",$A$15,"sost","Estatal","entidad","Aguascalientes","Año",2018)</f>
        <v>2.2618660334024945</v>
      </c>
      <c r="I18" s="2"/>
      <c r="J18" s="2"/>
      <c r="K18" s="2"/>
    </row>
    <row r="19" spans="1:11">
      <c r="A19" s="51" t="s">
        <v>3</v>
      </c>
      <c r="B19" s="75">
        <v>17.286943871984484</v>
      </c>
      <c r="C19" s="75">
        <v>15.020089813282912</v>
      </c>
      <c r="D19" s="75">
        <v>16.255144032921809</v>
      </c>
      <c r="E19" s="75">
        <v>16.517805359007077</v>
      </c>
      <c r="F19" s="75">
        <v>18.527315914489307</v>
      </c>
      <c r="G19" s="326">
        <f>GETPIVOTDATA("AE",$A$15,"sost","Estatal","entidad","Baja California","Año",2022)-GETPIVOTDATA("AE",$A$15,"sost","Estatal","entidad","Baja California","Año",2021)</f>
        <v>2.0095105554822297</v>
      </c>
      <c r="H19" s="326">
        <f>GETPIVOTDATA("AE",$A$15,"sost","Estatal","entidad","Baja California","Año",2022)-GETPIVOTDATA("AE",$A$15,"sost","Estatal","entidad","Baja California","Año",2018)</f>
        <v>1.2403720425048235</v>
      </c>
      <c r="I19" s="2"/>
      <c r="J19" s="2"/>
      <c r="K19" s="2"/>
    </row>
    <row r="20" spans="1:11">
      <c r="A20" s="51" t="s">
        <v>4</v>
      </c>
      <c r="B20" s="75">
        <v>14.36298076923077</v>
      </c>
      <c r="C20" s="75">
        <v>15.085444902769595</v>
      </c>
      <c r="D20" s="75">
        <v>11.638491547464236</v>
      </c>
      <c r="E20" s="75">
        <v>20.26578073089701</v>
      </c>
      <c r="F20" s="75">
        <v>14.630960156760286</v>
      </c>
      <c r="G20" s="327">
        <f>GETPIVOTDATA("AE",$A$15,"sost","Estatal","entidad","Baja California Sur","Año",2022)-GETPIVOTDATA("AE",$A$15,"sost","Estatal","entidad","Baja California Sur","Año",2021)</f>
        <v>-5.6348205741367234</v>
      </c>
      <c r="H20" s="327">
        <f>GETPIVOTDATA("AE",$A$15,"sost","Estatal","entidad","Baja California Sur","Año",2022)-GETPIVOTDATA("AE",$A$15,"sost","Estatal","entidad","Baja California Sur","Año",2018)</f>
        <v>0.26797938752951644</v>
      </c>
      <c r="I20" s="2"/>
      <c r="J20" s="2"/>
      <c r="K20" s="2"/>
    </row>
    <row r="21" spans="1:11">
      <c r="A21" s="51" t="s">
        <v>5</v>
      </c>
      <c r="B21" s="75">
        <v>17.247097844112769</v>
      </c>
      <c r="C21" s="75">
        <v>14.873417721518988</v>
      </c>
      <c r="D21" s="75">
        <v>12.339989759344594</v>
      </c>
      <c r="E21" s="75">
        <v>18.836140888208273</v>
      </c>
      <c r="F21" s="75">
        <v>12.854930304594737</v>
      </c>
      <c r="G21" s="326">
        <f>GETPIVOTDATA("AE",$A$15,"sost","Estatal","entidad","Campeche","Año",2022)-GETPIVOTDATA("AE",$A$15,"sost","Estatal","entidad","Campeche","Año",2021)</f>
        <v>-5.981210583613537</v>
      </c>
      <c r="H21" s="326">
        <f>GETPIVOTDATA("AE",$A$15,"sost","Estatal","entidad","Campeche","Año",2022)-GETPIVOTDATA("AE",$A$15,"sost","Estatal","entidad","Campeche","Año",2018)</f>
        <v>-4.3921675395180326</v>
      </c>
      <c r="I21" s="2"/>
      <c r="J21" s="2"/>
      <c r="K21" s="2"/>
    </row>
    <row r="22" spans="1:11">
      <c r="A22" s="51" t="s">
        <v>6</v>
      </c>
      <c r="B22" s="75">
        <v>12.419006479481641</v>
      </c>
      <c r="C22" s="75">
        <v>13.633770678836276</v>
      </c>
      <c r="D22" s="75">
        <v>8.1685036992299569</v>
      </c>
      <c r="E22" s="75">
        <v>11.273750879662215</v>
      </c>
      <c r="F22" s="75">
        <v>17.907989175197081</v>
      </c>
      <c r="G22" s="327">
        <f>GETPIVOTDATA("AE",$A$15,"sost","Estatal","entidad","Chiapas","Año",2022)-GETPIVOTDATA("AE",$A$15,"sost","Estatal","entidad","Chiapas","Año",2021)</f>
        <v>6.6342382955348658</v>
      </c>
      <c r="H22" s="327">
        <f>GETPIVOTDATA("AE",$A$15,"sost","Estatal","entidad","Chiapas","Año",2022)-GETPIVOTDATA("AE",$A$15,"sost","Estatal","entidad","Chiapas","Año",2018)</f>
        <v>5.4889826957154391</v>
      </c>
      <c r="I22" s="2"/>
      <c r="J22" s="2"/>
      <c r="K22" s="2"/>
    </row>
    <row r="23" spans="1:11">
      <c r="A23" s="51" t="s">
        <v>7</v>
      </c>
      <c r="B23" s="75">
        <v>20.015212430729111</v>
      </c>
      <c r="C23" s="75">
        <v>16.656946226525136</v>
      </c>
      <c r="D23" s="75">
        <v>18.921358456504567</v>
      </c>
      <c r="E23" s="75">
        <v>23.018080667593878</v>
      </c>
      <c r="F23" s="75">
        <v>16.998560460652591</v>
      </c>
      <c r="G23" s="326">
        <f>GETPIVOTDATA("AE",$A$15,"sost","Estatal","entidad","Chihuahua","Año",2022)-GETPIVOTDATA("AE",$A$15,"sost","Estatal","entidad","Chihuahua","Año",2021)</f>
        <v>-6.0195202069412872</v>
      </c>
      <c r="H23" s="326">
        <f>GETPIVOTDATA("AE",$A$15,"sost","Estatal","entidad","Chihuahua","Año",2022)-GETPIVOTDATA("AE",$A$15,"sost","Estatal","entidad","Chihuahua","Año",2018)</f>
        <v>-3.01665197007652</v>
      </c>
      <c r="I23" s="2"/>
      <c r="J23" s="2"/>
      <c r="K23" s="2"/>
    </row>
    <row r="24" spans="1:11">
      <c r="A24" s="51" t="s">
        <v>31</v>
      </c>
      <c r="B24" s="75">
        <v>9.2191535863302203</v>
      </c>
      <c r="C24" s="75">
        <v>11.002115791498369</v>
      </c>
      <c r="D24" s="75">
        <v>6.6078450177423971</v>
      </c>
      <c r="E24" s="75">
        <v>9.7520980032796416</v>
      </c>
      <c r="F24" s="75">
        <v>10.945371925318581</v>
      </c>
      <c r="G24" s="327">
        <f>GETPIVOTDATA("AE",$A$15,"sost","Estatal","entidad","Coahuila de Zaragoza","Año",2022)-GETPIVOTDATA("AE",$A$15,"sost","Estatal","entidad","Coahuila de Zaragoza","Año",2021)</f>
        <v>1.193273922038939</v>
      </c>
      <c r="H24" s="327">
        <f>GETPIVOTDATA("AE",$A$15,"sost","Estatal","entidad","Coahuila de Zaragoza","Año",2022)-GETPIVOTDATA("AE",$A$15,"sost","Estatal","entidad","Coahuila de Zaragoza","Año",2018)</f>
        <v>1.7262183389883603</v>
      </c>
      <c r="I24" s="2"/>
      <c r="J24" s="2"/>
      <c r="K24" s="2"/>
    </row>
    <row r="25" spans="1:11">
      <c r="A25" s="51" t="s">
        <v>8</v>
      </c>
      <c r="B25" s="75">
        <v>16.773847802786712</v>
      </c>
      <c r="C25" s="75">
        <v>15.811739820200954</v>
      </c>
      <c r="D25" s="75">
        <v>19.90692864529473</v>
      </c>
      <c r="E25" s="75">
        <v>20.389399675500275</v>
      </c>
      <c r="F25" s="75">
        <v>15.51136363636364</v>
      </c>
      <c r="G25" s="326">
        <f>GETPIVOTDATA("AE",$A$15,"sost","Estatal","entidad","Colima","Año",2022)-GETPIVOTDATA("AE",$A$15,"sost","Estatal","entidad","Colima","Año",2021)</f>
        <v>-4.8780360391366351</v>
      </c>
      <c r="H25" s="326">
        <f>GETPIVOTDATA("AE",$A$15,"sost","Estatal","entidad","Colima","Año",2022)-GETPIVOTDATA("AE",$A$15,"sost","Estatal","entidad","Colima","Año",2018)</f>
        <v>-1.2624841664230715</v>
      </c>
      <c r="I25" s="2"/>
      <c r="J25" s="2"/>
      <c r="K25" s="2"/>
    </row>
    <row r="26" spans="1:11">
      <c r="A26" s="51" t="s">
        <v>9</v>
      </c>
      <c r="B26" s="75">
        <v>22.883405902273822</v>
      </c>
      <c r="C26" s="75">
        <v>20.310880829015542</v>
      </c>
      <c r="D26" s="75">
        <v>23.41101694915254</v>
      </c>
      <c r="E26" s="75">
        <v>26.35852592129919</v>
      </c>
      <c r="F26" s="75">
        <v>22.962041070317362</v>
      </c>
      <c r="G26" s="327">
        <f>GETPIVOTDATA("AE",$A$15,"sost","Estatal","entidad","Durango","Año",2022)-GETPIVOTDATA("AE",$A$15,"sost","Estatal","entidad","Durango","Año",2021)</f>
        <v>-3.3964848509818282</v>
      </c>
      <c r="H26" s="327">
        <f>GETPIVOTDATA("AE",$A$15,"sost","Estatal","entidad","Durango","Año",2022)-GETPIVOTDATA("AE",$A$15,"sost","Estatal","entidad","Durango","Año",2018)</f>
        <v>7.8635168043540205E-2</v>
      </c>
      <c r="I26" s="2"/>
      <c r="J26" s="2"/>
      <c r="K26" s="2"/>
    </row>
    <row r="27" spans="1:11">
      <c r="A27" s="51" t="s">
        <v>10</v>
      </c>
      <c r="B27" s="75">
        <v>11.761775612996072</v>
      </c>
      <c r="C27" s="75">
        <v>11.30046326935804</v>
      </c>
      <c r="D27" s="75">
        <v>9.9509884905556447</v>
      </c>
      <c r="E27" s="75">
        <v>18.064700830231896</v>
      </c>
      <c r="F27" s="75">
        <v>10.563722512452923</v>
      </c>
      <c r="G27" s="326">
        <f>GETPIVOTDATA("AE",$A$15,"sost","Estatal","entidad","Guanajuato","Año",2022)-GETPIVOTDATA("AE",$A$15,"sost","Estatal","entidad","Guanajuato","Año",2021)</f>
        <v>-7.5009783177789728</v>
      </c>
      <c r="H27" s="326">
        <f>GETPIVOTDATA("AE",$A$15,"sost","Estatal","entidad","Guanajuato","Año",2022)-GETPIVOTDATA("AE",$A$15,"sost","Estatal","entidad","Guanajuato","Año",2018)</f>
        <v>-1.1980531005431487</v>
      </c>
      <c r="I27" s="2"/>
      <c r="J27" s="2"/>
      <c r="K27" s="2"/>
    </row>
    <row r="28" spans="1:11">
      <c r="A28" s="51" t="s">
        <v>11</v>
      </c>
      <c r="B28" s="75">
        <v>14.141742522756829</v>
      </c>
      <c r="C28" s="75">
        <v>16.269970655363551</v>
      </c>
      <c r="D28" s="75">
        <v>12.920237310481209</v>
      </c>
      <c r="E28" s="75">
        <v>21.544375731238507</v>
      </c>
      <c r="F28" s="75">
        <v>19.405293915434861</v>
      </c>
      <c r="G28" s="327">
        <f>GETPIVOTDATA("AE",$A$15,"sost","Estatal","entidad","Guerrero","Año",2022)-GETPIVOTDATA("AE",$A$15,"sost","Estatal","entidad","Guerrero","Año",2021)</f>
        <v>-2.139081815803646</v>
      </c>
      <c r="H28" s="327">
        <f>GETPIVOTDATA("AE",$A$15,"sost","Estatal","entidad","Guerrero","Año",2022)-GETPIVOTDATA("AE",$A$15,"sost","Estatal","entidad","Guerrero","Año",2018)</f>
        <v>5.263551392678032</v>
      </c>
      <c r="I28" s="2"/>
      <c r="J28" s="2"/>
      <c r="K28" s="2"/>
    </row>
    <row r="29" spans="1:11">
      <c r="A29" s="51" t="s">
        <v>12</v>
      </c>
      <c r="B29" s="75">
        <v>16.885964912280706</v>
      </c>
      <c r="C29" s="75">
        <v>12.304631997726624</v>
      </c>
      <c r="D29" s="75">
        <v>12.320217096336494</v>
      </c>
      <c r="E29" s="75">
        <v>15.331196581196583</v>
      </c>
      <c r="F29" s="75">
        <v>12.024972855591754</v>
      </c>
      <c r="G29" s="326">
        <f>GETPIVOTDATA("AE",$A$15,"sost","Estatal","entidad","Hidalgo","Año",2022)-GETPIVOTDATA("AE",$A$15,"sost","Estatal","entidad","Hidalgo","Año",2021)</f>
        <v>-3.3062237256048288</v>
      </c>
      <c r="H29" s="326">
        <f>GETPIVOTDATA("AE",$A$15,"sost","Estatal","entidad","Hidalgo","Año",2022)-GETPIVOTDATA("AE",$A$15,"sost","Estatal","entidad","Hidalgo","Año",2018)</f>
        <v>-4.8609920566889517</v>
      </c>
      <c r="I29" s="2"/>
      <c r="J29" s="2"/>
      <c r="K29" s="2"/>
    </row>
    <row r="30" spans="1:11">
      <c r="A30" s="51" t="s">
        <v>13</v>
      </c>
      <c r="B30" s="75">
        <v>17.407108239095315</v>
      </c>
      <c r="C30" s="75">
        <v>17.509239244125229</v>
      </c>
      <c r="D30" s="75">
        <v>12.795418297810645</v>
      </c>
      <c r="E30" s="75">
        <v>15.776324491145566</v>
      </c>
      <c r="F30" s="75">
        <v>16.754406042572668</v>
      </c>
      <c r="G30" s="327">
        <f>GETPIVOTDATA("AE",$A$15,"sost","Estatal","entidad","Jalisco","Año",2022)-GETPIVOTDATA("AE",$A$15,"sost","Estatal","entidad","Jalisco","Año",2021)</f>
        <v>0.97808155142710262</v>
      </c>
      <c r="H30" s="327">
        <f>GETPIVOTDATA("AE",$A$15,"sost","Estatal","entidad","Jalisco","Año",2022)-GETPIVOTDATA("AE",$A$15,"sost","Estatal","entidad","Jalisco","Año",2018)</f>
        <v>-0.65270219652264672</v>
      </c>
      <c r="I30" s="2"/>
      <c r="J30" s="2"/>
      <c r="K30" s="2"/>
    </row>
    <row r="31" spans="1:11">
      <c r="A31" s="51" t="s">
        <v>14</v>
      </c>
      <c r="B31" s="75">
        <v>17.556749192237241</v>
      </c>
      <c r="C31" s="75">
        <v>16.823853440721116</v>
      </c>
      <c r="D31" s="75">
        <v>15.666256314471283</v>
      </c>
      <c r="E31" s="75">
        <v>13.656668793873639</v>
      </c>
      <c r="F31" s="75">
        <v>9.5629723708592689</v>
      </c>
      <c r="G31" s="326">
        <f>GETPIVOTDATA("AE",$A$15,"sost","Estatal","entidad","México","Año",2022)-GETPIVOTDATA("AE",$A$15,"sost","Estatal","entidad","México","Año",2021)</f>
        <v>-4.0936964230143698</v>
      </c>
      <c r="H31" s="326">
        <f>GETPIVOTDATA("AE",$A$15,"sost","Estatal","entidad","México","Año",2022)-GETPIVOTDATA("AE",$A$15,"sost","Estatal","entidad","México","Año",2018)</f>
        <v>-7.9937768213779723</v>
      </c>
      <c r="I31" s="2"/>
      <c r="J31" s="2"/>
      <c r="K31" s="2"/>
    </row>
    <row r="32" spans="1:11">
      <c r="A32" s="51" t="s">
        <v>30</v>
      </c>
      <c r="B32" s="75">
        <v>15.821482872730531</v>
      </c>
      <c r="C32" s="75">
        <v>14.64778569495806</v>
      </c>
      <c r="D32" s="75">
        <v>11.820394914795784</v>
      </c>
      <c r="E32" s="75">
        <v>19.707105405894055</v>
      </c>
      <c r="F32" s="75">
        <v>11.721194879089614</v>
      </c>
      <c r="G32" s="327">
        <f>GETPIVOTDATA("AE",$A$15,"sost","Estatal","entidad","Michoacán de Ocampo","Año",2022)-GETPIVOTDATA("AE",$A$15,"sost","Estatal","entidad","Michoacán de Ocampo","Año",2021)</f>
        <v>-7.9859105268044406</v>
      </c>
      <c r="H32" s="327">
        <f>GETPIVOTDATA("AE",$A$15,"sost","Estatal","entidad","Michoacán de Ocampo","Año",2022)-GETPIVOTDATA("AE",$A$15,"sost","Estatal","entidad","Michoacán de Ocampo","Año",2018)</f>
        <v>-4.1002879936409169</v>
      </c>
      <c r="I32" s="2"/>
      <c r="J32" s="2"/>
      <c r="K32" s="2"/>
    </row>
    <row r="33" spans="1:11">
      <c r="A33" s="51" t="s">
        <v>15</v>
      </c>
      <c r="B33" s="75">
        <v>16.372152437726207</v>
      </c>
      <c r="C33" s="75">
        <v>17.974137931034484</v>
      </c>
      <c r="D33" s="75">
        <v>20.765148164528966</v>
      </c>
      <c r="E33" s="75">
        <v>22.69585253456221</v>
      </c>
      <c r="F33" s="75">
        <v>15.080664016834234</v>
      </c>
      <c r="G33" s="326">
        <f>GETPIVOTDATA("AE",$A$15,"sost","Estatal","entidad","Morelos","Año",2022)-GETPIVOTDATA("AE",$A$15,"sost","Estatal","entidad","Morelos","Año",2021)</f>
        <v>-7.6151885177279759</v>
      </c>
      <c r="H33" s="326">
        <f>GETPIVOTDATA("AE",$A$15,"sost","Estatal","entidad","Morelos","Año",2022)-GETPIVOTDATA("AE",$A$15,"sost","Estatal","entidad","Morelos","Año",2018)</f>
        <v>-1.291488420891973</v>
      </c>
      <c r="I33" s="2"/>
      <c r="J33" s="2"/>
      <c r="K33" s="2"/>
    </row>
    <row r="34" spans="1:11">
      <c r="A34" s="51" t="s">
        <v>16</v>
      </c>
      <c r="B34" s="75">
        <v>22.414355628058726</v>
      </c>
      <c r="C34" s="75">
        <v>17.179670722977814</v>
      </c>
      <c r="D34" s="75">
        <v>21.949556918882074</v>
      </c>
      <c r="E34" s="75">
        <v>26.295784381478924</v>
      </c>
      <c r="F34" s="75">
        <v>15.462868769074268</v>
      </c>
      <c r="G34" s="327">
        <f>GETPIVOTDATA("AE",$A$15,"sost","Estatal","entidad","Nayarit","Año",2022)-GETPIVOTDATA("AE",$A$15,"sost","Estatal","entidad","Nayarit","Año",2021)</f>
        <v>-10.832915612404657</v>
      </c>
      <c r="H34" s="327">
        <f>GETPIVOTDATA("AE",$A$15,"sost","Estatal","entidad","Nayarit","Año",2022)-GETPIVOTDATA("AE",$A$15,"sost","Estatal","entidad","Nayarit","Año",2018)</f>
        <v>-6.9514868589844578</v>
      </c>
      <c r="I34" s="2"/>
      <c r="J34" s="2"/>
      <c r="K34" s="2"/>
    </row>
    <row r="35" spans="1:11">
      <c r="A35" s="51" t="s">
        <v>17</v>
      </c>
      <c r="B35" s="75">
        <v>14.701887499414546</v>
      </c>
      <c r="C35" s="75">
        <v>11.408609209415733</v>
      </c>
      <c r="D35" s="75">
        <v>6.4508888489854588</v>
      </c>
      <c r="E35" s="75">
        <v>7.0983016892045665</v>
      </c>
      <c r="F35" s="75">
        <v>25.283908292264833</v>
      </c>
      <c r="G35" s="326">
        <f>GETPIVOTDATA("AE",$A$15,"sost","Estatal","entidad","Nuevo León","Año",2022)-GETPIVOTDATA("AE",$A$15,"sost","Estatal","entidad","Nuevo León","Año",2021)</f>
        <v>18.185606603060265</v>
      </c>
      <c r="H35" s="326">
        <f>GETPIVOTDATA("AE",$A$15,"sost","Estatal","entidad","Nuevo León","Año",2022)-GETPIVOTDATA("AE",$A$15,"sost","Estatal","entidad","Nuevo León","Año",2018)</f>
        <v>10.582020792850287</v>
      </c>
      <c r="I35" s="2"/>
      <c r="J35" s="2"/>
      <c r="K35" s="2"/>
    </row>
    <row r="36" spans="1:11">
      <c r="A36" s="51" t="s">
        <v>18</v>
      </c>
      <c r="B36" s="75">
        <v>12.50168033337814</v>
      </c>
      <c r="C36" s="75">
        <v>12.435020519835838</v>
      </c>
      <c r="D36" s="75">
        <v>7.399694571706239</v>
      </c>
      <c r="E36" s="75">
        <v>10.233319688907084</v>
      </c>
      <c r="F36" s="75">
        <v>12.893907563025209</v>
      </c>
      <c r="G36" s="327">
        <f>GETPIVOTDATA("AE",$A$15,"sost","Estatal","entidad","Puebla","Año",2022)-GETPIVOTDATA("AE",$A$15,"sost","Estatal","entidad","Puebla","Año",2021)</f>
        <v>2.660587874118125</v>
      </c>
      <c r="H36" s="327">
        <f>GETPIVOTDATA("AE",$A$15,"sost","Estatal","entidad","Puebla","Año",2022)-GETPIVOTDATA("AE",$A$15,"sost","Estatal","entidad","Puebla","Año",2018)</f>
        <v>0.39222722964706946</v>
      </c>
      <c r="I36" s="2"/>
      <c r="J36" s="2"/>
      <c r="K36" s="2"/>
    </row>
    <row r="37" spans="1:11">
      <c r="A37" s="51" t="s">
        <v>29</v>
      </c>
      <c r="B37" s="75">
        <v>14.511410181392625</v>
      </c>
      <c r="C37" s="75">
        <v>16.383530089260002</v>
      </c>
      <c r="D37" s="75">
        <v>13.813459268004724</v>
      </c>
      <c r="E37" s="75">
        <v>23.757852655625356</v>
      </c>
      <c r="F37" s="75">
        <v>18.291995490417136</v>
      </c>
      <c r="G37" s="326">
        <f>GETPIVOTDATA("AE",$A$15,"sost","Estatal","entidad","Querétaro de Arteaga","Año",2022)-GETPIVOTDATA("AE",$A$15,"sost","Estatal","entidad","Querétaro de Arteaga","Año",2021)</f>
        <v>-5.4658571652082202</v>
      </c>
      <c r="H37" s="326">
        <f>GETPIVOTDATA("AE",$A$15,"sost","Estatal","entidad","Querétaro de Arteaga","Año",2022)-GETPIVOTDATA("AE",$A$15,"sost","Estatal","entidad","Querétaro de Arteaga","Año",2018)</f>
        <v>3.7805853090245112</v>
      </c>
      <c r="I37" s="2"/>
      <c r="J37" s="2"/>
      <c r="K37" s="2"/>
    </row>
    <row r="38" spans="1:11">
      <c r="A38" s="51" t="s">
        <v>19</v>
      </c>
      <c r="B38" s="75">
        <v>14.103456274646254</v>
      </c>
      <c r="C38" s="75">
        <v>13.899883585564609</v>
      </c>
      <c r="D38" s="75">
        <v>7.9605668515095545</v>
      </c>
      <c r="E38" s="75">
        <v>7.9090803664617848</v>
      </c>
      <c r="F38" s="75">
        <v>8.3759590792838896</v>
      </c>
      <c r="G38" s="327">
        <f>GETPIVOTDATA("AE",$A$15,"sost","Estatal","entidad","Quintana Roo","Año",2022)-GETPIVOTDATA("AE",$A$15,"sost","Estatal","entidad","Quintana Roo","Año",2021)</f>
        <v>0.4668787128221048</v>
      </c>
      <c r="H38" s="327">
        <f>GETPIVOTDATA("AE",$A$15,"sost","Estatal","entidad","Quintana Roo","Año",2022)-GETPIVOTDATA("AE",$A$15,"sost","Estatal","entidad","Quintana Roo","Año",2018)</f>
        <v>-5.7274971953623641</v>
      </c>
      <c r="I38" s="2"/>
      <c r="J38" s="2"/>
      <c r="K38" s="2"/>
    </row>
    <row r="39" spans="1:11">
      <c r="A39" s="51" t="s">
        <v>20</v>
      </c>
      <c r="B39" s="75">
        <v>18.851457496945368</v>
      </c>
      <c r="C39" s="75">
        <v>14.16619129111999</v>
      </c>
      <c r="D39" s="75">
        <v>11.174057433092399</v>
      </c>
      <c r="E39" s="75">
        <v>14.641809803100125</v>
      </c>
      <c r="F39" s="75">
        <v>11.15754283326369</v>
      </c>
      <c r="G39" s="326">
        <f>GETPIVOTDATA("AE",$A$15,"sost","Estatal","entidad","San Luis Potosí","Año",2022)-GETPIVOTDATA("AE",$A$15,"sost","Estatal","entidad","San Luis Potosí","Año",2021)</f>
        <v>-3.484266969836435</v>
      </c>
      <c r="H39" s="326">
        <f>GETPIVOTDATA("AE",$A$15,"sost","Estatal","entidad","San Luis Potosí","Año",2022)-GETPIVOTDATA("AE",$A$15,"sost","Estatal","entidad","San Luis Potosí","Año",2018)</f>
        <v>-7.693914663681678</v>
      </c>
      <c r="I39" s="2"/>
      <c r="J39" s="2"/>
      <c r="K39" s="2"/>
    </row>
    <row r="40" spans="1:11">
      <c r="A40" s="51" t="s">
        <v>21</v>
      </c>
      <c r="B40" s="75">
        <v>14.51556488282616</v>
      </c>
      <c r="C40" s="75">
        <v>15.097629009762903</v>
      </c>
      <c r="D40" s="75">
        <v>8.1309275965764538</v>
      </c>
      <c r="E40" s="75">
        <v>13.868523949169109</v>
      </c>
      <c r="F40" s="75">
        <v>8.9118909366321617</v>
      </c>
      <c r="G40" s="327">
        <f>GETPIVOTDATA("AE",$A$15,"sost","Estatal","entidad","Sinaloa","Año",2022)-GETPIVOTDATA("AE",$A$15,"sost","Estatal","entidad","Sinaloa","Año",2021)</f>
        <v>-4.9566330125369475</v>
      </c>
      <c r="H40" s="327">
        <f>GETPIVOTDATA("AE",$A$15,"sost","Estatal","entidad","Sinaloa","Año",2022)-GETPIVOTDATA("AE",$A$15,"sost","Estatal","entidad","Sinaloa","Año",2018)</f>
        <v>-5.6036739461939984</v>
      </c>
      <c r="I40" s="2"/>
      <c r="J40" s="2"/>
      <c r="K40" s="2"/>
    </row>
    <row r="41" spans="1:11">
      <c r="A41" s="51" t="s">
        <v>22</v>
      </c>
      <c r="B41" s="75">
        <v>22.681154676965377</v>
      </c>
      <c r="C41" s="75">
        <v>13.934979090786459</v>
      </c>
      <c r="D41" s="75">
        <v>9.94746767241379</v>
      </c>
      <c r="E41" s="75">
        <v>16.797153024911026</v>
      </c>
      <c r="F41" s="75">
        <v>15.622768871292269</v>
      </c>
      <c r="G41" s="326">
        <f>GETPIVOTDATA("AE",$A$15,"sost","Estatal","entidad","Sonora","Año",2022)-GETPIVOTDATA("AE",$A$15,"sost","Estatal","entidad","Sonora","Año",2021)</f>
        <v>-1.1743841536187567</v>
      </c>
      <c r="H41" s="326">
        <f>GETPIVOTDATA("AE",$A$15,"sost","Estatal","entidad","Sonora","Año",2022)-GETPIVOTDATA("AE",$A$15,"sost","Estatal","entidad","Sonora","Año",2018)</f>
        <v>-7.0583858056731081</v>
      </c>
      <c r="I41" s="2"/>
      <c r="J41" s="2"/>
      <c r="K41" s="2"/>
    </row>
    <row r="42" spans="1:11">
      <c r="A42" s="51" t="s">
        <v>23</v>
      </c>
      <c r="B42" s="75">
        <v>10.765171503957783</v>
      </c>
      <c r="C42" s="75">
        <v>12.535663338088444</v>
      </c>
      <c r="D42" s="75">
        <v>10.366855265559405</v>
      </c>
      <c r="E42" s="75">
        <v>8.6633663366336595</v>
      </c>
      <c r="F42" s="75">
        <v>6.9048057447983808</v>
      </c>
      <c r="G42" s="327">
        <f>GETPIVOTDATA("AE",$A$15,"sost","Estatal","entidad","Tabasco","Año",2022)-GETPIVOTDATA("AE",$A$15,"sost","Estatal","entidad","Tabasco","Año",2021)</f>
        <v>-1.7585605918352787</v>
      </c>
      <c r="H42" s="327">
        <f>GETPIVOTDATA("AE",$A$15,"sost","Estatal","entidad","Tabasco","Año",2022)-GETPIVOTDATA("AE",$A$15,"sost","Estatal","entidad","Tabasco","Año",2018)</f>
        <v>-3.8603657591594018</v>
      </c>
      <c r="I42" s="2"/>
      <c r="J42" s="2"/>
      <c r="K42" s="2"/>
    </row>
    <row r="43" spans="1:11">
      <c r="A43" s="51" t="s">
        <v>24</v>
      </c>
      <c r="B43" s="75">
        <v>14.98794073733778</v>
      </c>
      <c r="C43" s="75">
        <v>16.840501582093047</v>
      </c>
      <c r="D43" s="75">
        <v>12.069622665480884</v>
      </c>
      <c r="E43" s="75">
        <v>18.086086613136764</v>
      </c>
      <c r="F43" s="75">
        <v>7.3308270676691762</v>
      </c>
      <c r="G43" s="326">
        <f>GETPIVOTDATA("AE",$A$15,"sost","Estatal","entidad","Tamaulipas","Año",2022)-GETPIVOTDATA("AE",$A$15,"sost","Estatal","entidad","Tamaulipas","Año",2021)</f>
        <v>-10.755259545467588</v>
      </c>
      <c r="H43" s="326">
        <f>GETPIVOTDATA("AE",$A$15,"sost","Estatal","entidad","Tamaulipas","Año",2022)-GETPIVOTDATA("AE",$A$15,"sost","Estatal","entidad","Tamaulipas","Año",2018)</f>
        <v>-7.657113669668604</v>
      </c>
      <c r="I43" s="2"/>
      <c r="J43" s="2"/>
      <c r="K43" s="2"/>
    </row>
    <row r="44" spans="1:11">
      <c r="A44" s="51" t="s">
        <v>25</v>
      </c>
      <c r="B44" s="75">
        <v>14.554424915201968</v>
      </c>
      <c r="C44" s="75">
        <v>12.59282178217822</v>
      </c>
      <c r="D44" s="75">
        <v>8.5039370078740184</v>
      </c>
      <c r="E44" s="75">
        <v>11.481597986788294</v>
      </c>
      <c r="F44" s="75">
        <v>7.4062301335028558</v>
      </c>
      <c r="G44" s="327">
        <f>GETPIVOTDATA("AE",$A$15,"sost","Estatal","entidad","Tlaxcala","Año",2022)-GETPIVOTDATA("AE",$A$15,"sost","Estatal","entidad","Tlaxcala","Año",2021)</f>
        <v>-4.0753678532854387</v>
      </c>
      <c r="H44" s="327">
        <f>GETPIVOTDATA("AE",$A$15,"sost","Estatal","entidad","Tlaxcala","Año",2022)-GETPIVOTDATA("AE",$A$15,"sost","Estatal","entidad","Tlaxcala","Año",2018)</f>
        <v>-7.1481947816991127</v>
      </c>
      <c r="I44" s="2"/>
      <c r="J44" s="2"/>
      <c r="K44" s="2"/>
    </row>
    <row r="45" spans="1:11">
      <c r="A45" s="51" t="s">
        <v>53</v>
      </c>
      <c r="B45" s="75">
        <v>9.9067471201316533</v>
      </c>
      <c r="C45" s="75">
        <v>9.426507112214944</v>
      </c>
      <c r="D45" s="75">
        <v>6.3822823478071111</v>
      </c>
      <c r="E45" s="75">
        <v>7.765957446808514</v>
      </c>
      <c r="F45" s="75">
        <v>7.4251810487740988</v>
      </c>
      <c r="G45" s="326">
        <f>GETPIVOTDATA("AE",$A$15,"sost","Estatal","entidad","Veracruz llave","Año",2022)-GETPIVOTDATA("AE",$A$15,"sost","Estatal","entidad","Veracruz llave","Año",2021)</f>
        <v>-0.34077639803441517</v>
      </c>
      <c r="H45" s="326">
        <f>GETPIVOTDATA("AE",$A$15,"sost","Estatal","entidad","Veracruz llave","Año",2022)-GETPIVOTDATA("AE",$A$15,"sost","Estatal","entidad","Veracruz llave","Año",2018)</f>
        <v>-2.4815660713575545</v>
      </c>
      <c r="I45" s="2"/>
      <c r="J45" s="2"/>
      <c r="K45" s="2"/>
    </row>
    <row r="46" spans="1:11">
      <c r="A46" s="51" t="s">
        <v>26</v>
      </c>
      <c r="B46" s="75">
        <v>13.465195891974135</v>
      </c>
      <c r="C46" s="75">
        <v>14.708655478031307</v>
      </c>
      <c r="D46" s="75">
        <v>11.546549416937491</v>
      </c>
      <c r="E46" s="75">
        <v>20.91902909023532</v>
      </c>
      <c r="F46" s="75">
        <v>14.256003025146535</v>
      </c>
      <c r="G46" s="327">
        <f>GETPIVOTDATA("AE",$A$15,"sost","Estatal","entidad","Yucatán","Año",2022)-GETPIVOTDATA("AE",$A$15,"sost","Estatal","entidad","Yucatán","Año",2021)</f>
        <v>-6.6630260650887845</v>
      </c>
      <c r="H46" s="327">
        <f>GETPIVOTDATA("AE",$A$15,"sost","Estatal","entidad","Yucatán","Año",2022)-GETPIVOTDATA("AE",$A$15,"sost","Estatal","entidad","Yucatán","Año",2018)</f>
        <v>0.79080713317240026</v>
      </c>
      <c r="I46" s="2"/>
      <c r="J46" s="2"/>
      <c r="K46" s="2"/>
    </row>
    <row r="47" spans="1:11">
      <c r="A47" s="51" t="s">
        <v>27</v>
      </c>
      <c r="B47" s="75">
        <v>20.747422680412374</v>
      </c>
      <c r="C47" s="75">
        <v>21.131339401820547</v>
      </c>
      <c r="D47" s="75">
        <v>27.656675749318804</v>
      </c>
      <c r="E47" s="75">
        <v>22.865853658536583</v>
      </c>
      <c r="F47" s="75">
        <v>26.779422128259334</v>
      </c>
      <c r="G47" s="326">
        <f>GETPIVOTDATA("AE",$A$15,"sost","Estatal","entidad","Zacatecas","Año",2022)-GETPIVOTDATA("AE",$A$15,"sost","Estatal","entidad","Zacatecas","Año",2021)</f>
        <v>3.9135684697227511</v>
      </c>
      <c r="H47" s="326">
        <f>GETPIVOTDATA("AE",$A$15,"sost","Estatal","entidad","Zacatecas","Año",2022)-GETPIVOTDATA("AE",$A$15,"sost","Estatal","entidad","Zacatecas","Año",2018)</f>
        <v>6.0319994478469603</v>
      </c>
      <c r="I47" s="2"/>
      <c r="J47" s="2"/>
      <c r="K47" s="2"/>
    </row>
    <row r="48" spans="1:11">
      <c r="A48" s="49" t="s">
        <v>50</v>
      </c>
      <c r="B48" s="80">
        <v>20.088156230234034</v>
      </c>
      <c r="C48" s="80">
        <v>21.350147187524861</v>
      </c>
      <c r="D48" s="80">
        <v>16.870060321315528</v>
      </c>
      <c r="E48" s="80">
        <v>15.336251952710656</v>
      </c>
      <c r="F48" s="80">
        <v>16.115836758099967</v>
      </c>
      <c r="G48" s="328">
        <f>GETPIVOTDATA("AE",$A$15,"sost","Federal","Año",2022)-GETPIVOTDATA("AE",$A$15,"sost","Federal","Año",2021)</f>
        <v>0.77958480538931063</v>
      </c>
      <c r="H48" s="328">
        <f>GETPIVOTDATA("AE",$A$15,"sost","Federal","Año",2022)-GETPIVOTDATA("AE",$A$15,"sost","Federal","Año",2018)</f>
        <v>-3.9723194721340676</v>
      </c>
      <c r="I48" s="2"/>
      <c r="J48" s="2"/>
      <c r="K48" s="2"/>
    </row>
    <row r="49" spans="1:11">
      <c r="A49" s="51" t="s">
        <v>32</v>
      </c>
      <c r="B49" s="75">
        <v>20.924183479598302</v>
      </c>
      <c r="C49" s="75">
        <v>22.252666379837414</v>
      </c>
      <c r="D49" s="75">
        <v>16.769479410894363</v>
      </c>
      <c r="E49" s="75">
        <v>13.805305844341387</v>
      </c>
      <c r="F49" s="75">
        <v>16.059634705161031</v>
      </c>
      <c r="G49" s="326">
        <f>GETPIVOTDATA("AE",$A$15,"sost","Federal","entidad","Ciudad de México","Año",2022)-GETPIVOTDATA("AE",$A$15,"sost","Federal","entidad","Ciudad de México","Año",2021)</f>
        <v>2.2543288608196441</v>
      </c>
      <c r="H49" s="326">
        <f>GETPIVOTDATA("AE",$A$15,"sost","Federal","entidad","Ciudad de México","Año",2022)-GETPIVOTDATA("AE",$A$15,"sost","Federal","entidad","Ciudad de México","Año",2018)</f>
        <v>-4.8645487744372709</v>
      </c>
      <c r="I49" s="2"/>
      <c r="J49" s="2"/>
      <c r="K49" s="2"/>
    </row>
    <row r="50" spans="1:11">
      <c r="A50" s="51" t="s">
        <v>28</v>
      </c>
      <c r="B50" s="75">
        <v>14.294670846394986</v>
      </c>
      <c r="C50" s="75">
        <v>14.832379394930495</v>
      </c>
      <c r="D50" s="75">
        <v>17.571428571428569</v>
      </c>
      <c r="E50" s="75">
        <v>26.298394711992444</v>
      </c>
      <c r="F50" s="75">
        <v>16.563786008230451</v>
      </c>
      <c r="G50" s="327">
        <f>GETPIVOTDATA("AE",$A$15,"sost","Federal","entidad","Oaxaca","Año",2022)-GETPIVOTDATA("AE",$A$15,"sost","Federal","entidad","Oaxaca","Año",2021)</f>
        <v>-9.7346087037619924</v>
      </c>
      <c r="H50" s="327">
        <f>GETPIVOTDATA("AE",$A$15,"sost","Federal","entidad","Oaxaca","Año",2022)-GETPIVOTDATA("AE",$A$15,"sost","Federal","entidad","Oaxaca","Año",2018)</f>
        <v>2.2691151618354652</v>
      </c>
      <c r="I50" s="2"/>
      <c r="J50" s="2"/>
      <c r="K50" s="2"/>
    </row>
    <row r="51" spans="1:11" hidden="1">
      <c r="A51" s="51" t="s">
        <v>39</v>
      </c>
      <c r="B51" s="75">
        <v>0</v>
      </c>
      <c r="C51" s="75">
        <v>0</v>
      </c>
      <c r="D51" s="75">
        <v>0</v>
      </c>
      <c r="E51" s="75">
        <v>0</v>
      </c>
      <c r="F51" s="75">
        <v>0</v>
      </c>
      <c r="G51" s="326">
        <f>GETPIVOTDATA("AE",$A$15,"sost","Federal","entidad","Oficinas Nacionales","Año",2022)-GETPIVOTDATA("AE",$A$15,"sost","Federal","entidad","Oficinas Nacionales","Año",2021)</f>
        <v>0</v>
      </c>
      <c r="H51" s="326">
        <f>GETPIVOTDATA("AE",$A$15,"sost","Federal","entidad","Oficinas Nacionales","Año",2022)-GETPIVOTDATA("AE",$A$15,"sost","Federal","entidad","Oficinas Nacionales","Año",2018)</f>
        <v>0</v>
      </c>
    </row>
    <row r="52" spans="1:11" hidden="1">
      <c r="A52" s="49" t="s">
        <v>124</v>
      </c>
      <c r="B52" s="75">
        <v>0</v>
      </c>
      <c r="C52" s="75">
        <v>0</v>
      </c>
      <c r="D52" s="75">
        <v>0</v>
      </c>
      <c r="E52" s="75">
        <v>0</v>
      </c>
      <c r="F52" s="75">
        <v>0</v>
      </c>
      <c r="G52" s="328">
        <f>GETPIVOTDATA("AE",$A$15,"sost","Otro","Año",2022)-GETPIVOTDATA("AE",$A$15,"sost","Otro","Año",2021)</f>
        <v>0</v>
      </c>
      <c r="H52" s="328">
        <f>GETPIVOTDATA("AE",$A$15,"sost","Otro","Año",2022)-GETPIVOTDATA("AE",$A$15,"sost","Otro","Año",2018)</f>
        <v>0</v>
      </c>
    </row>
    <row r="53" spans="1:11" hidden="1">
      <c r="A53" s="51" t="s">
        <v>40</v>
      </c>
      <c r="B53" s="75">
        <v>0</v>
      </c>
      <c r="C53" s="75">
        <v>0</v>
      </c>
      <c r="D53" s="75">
        <v>0</v>
      </c>
      <c r="E53" s="75">
        <v>0</v>
      </c>
      <c r="F53" s="75">
        <v>0</v>
      </c>
      <c r="G53" s="326">
        <f>GETPIVOTDATA("AE",$A$15,"sost","Otro","entidad","Otros","Año",2022)-GETPIVOTDATA("AE",$A$15,"sost","Otro","entidad","Otros","Año",2021)</f>
        <v>0</v>
      </c>
      <c r="H53" s="326">
        <f>GETPIVOTDATA("AE",$A$15,"sost","Otro","entidad","Otros","Año",2022)-GETPIVOTDATA("AE",$A$15,"sost","Otro","entidad","Otros","Año",2018)</f>
        <v>0</v>
      </c>
    </row>
    <row r="54" spans="1:11" hidden="1">
      <c r="A54" s="49" t="s">
        <v>37</v>
      </c>
      <c r="B54" s="75">
        <v>16.319880955435263</v>
      </c>
      <c r="C54" s="75">
        <v>15.580184435082289</v>
      </c>
      <c r="D54" s="75">
        <v>12.691080045346293</v>
      </c>
      <c r="E54" s="75">
        <v>14.848337789995147</v>
      </c>
      <c r="F54" s="75">
        <v>13.953060374470883</v>
      </c>
      <c r="G54" s="331">
        <f>GETPIVOTDATA("AE",$A$15,"Año",2022)-GETPIVOTDATA("AE",$A$15,"Año",2021)</f>
        <v>-0.89527741552426399</v>
      </c>
      <c r="H54" s="331">
        <f>GETPIVOTDATA("AE",$A$15,"Año",2022)-GETPIVOTDATA("AE",$A$15,"Año",2018)</f>
        <v>-2.3668205809643794</v>
      </c>
    </row>
    <row r="56" spans="1:11">
      <c r="A56" s="84" t="s">
        <v>43</v>
      </c>
      <c r="B56" s="85"/>
      <c r="C56" s="85"/>
      <c r="D56" s="85"/>
      <c r="E56" s="85"/>
      <c r="F56" s="85"/>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54"/>
  <sheetViews>
    <sheetView showGridLines="0" view="pageBreakPreview" topLeftCell="F33" zoomScale="145" zoomScaleNormal="120" zoomScaleSheetLayoutView="145" workbookViewId="0">
      <selection activeCell="L39" sqref="L39"/>
    </sheetView>
  </sheetViews>
  <sheetFormatPr baseColWidth="10" defaultColWidth="11.42578125" defaultRowHeight="13.5"/>
  <cols>
    <col min="1" max="1" width="23.5703125" style="48" customWidth="1"/>
    <col min="2" max="8" width="9.5703125" style="48" customWidth="1"/>
    <col min="9" max="9" width="7.7109375" style="48" customWidth="1"/>
    <col min="10" max="10" width="15.140625" style="48" bestFit="1" customWidth="1"/>
    <col min="11" max="11" width="11.5703125" style="48" bestFit="1" customWidth="1"/>
    <col min="12" max="12" width="15.140625" style="48" bestFit="1" customWidth="1"/>
    <col min="13" max="13" width="11.5703125" style="48" bestFit="1" customWidth="1"/>
    <col min="14" max="14" width="20.140625" style="48" bestFit="1" customWidth="1"/>
    <col min="15" max="15" width="16.5703125" style="48" bestFit="1" customWidth="1"/>
    <col min="16" max="16384" width="11.42578125" style="48"/>
  </cols>
  <sheetData>
    <row r="1" spans="1:13" s="3" customFormat="1" ht="15" customHeight="1">
      <c r="B1" s="1"/>
      <c r="C1" s="1"/>
      <c r="D1" s="1"/>
      <c r="F1" s="1"/>
      <c r="G1" s="1"/>
      <c r="H1" s="64" t="s">
        <v>48</v>
      </c>
    </row>
    <row r="2" spans="1:13" s="3" customFormat="1" ht="15" customHeight="1">
      <c r="B2" s="1"/>
      <c r="C2" s="1"/>
      <c r="D2" s="1"/>
      <c r="F2" s="1"/>
      <c r="G2" s="1"/>
      <c r="H2" s="6" t="s">
        <v>42</v>
      </c>
    </row>
    <row r="3" spans="1:13" s="3" customFormat="1" ht="15" customHeight="1">
      <c r="B3" s="1"/>
      <c r="C3" s="1"/>
      <c r="D3" s="1"/>
      <c r="E3" s="1"/>
      <c r="F3" s="1"/>
      <c r="G3" s="1"/>
      <c r="H3" s="63"/>
    </row>
    <row r="4" spans="1:13" s="3" customFormat="1" ht="6" customHeight="1">
      <c r="B4" s="1"/>
      <c r="C4" s="1"/>
      <c r="D4" s="1"/>
      <c r="E4" s="1"/>
      <c r="F4" s="1"/>
      <c r="G4" s="1"/>
      <c r="H4" s="63"/>
    </row>
    <row r="5" spans="1:13" s="3" customFormat="1" ht="15" customHeight="1">
      <c r="A5" s="367" t="s">
        <v>167</v>
      </c>
      <c r="B5" s="367"/>
      <c r="C5" s="367"/>
      <c r="D5" s="367"/>
      <c r="E5" s="367"/>
      <c r="F5" s="367"/>
      <c r="G5" s="367"/>
      <c r="H5" s="367"/>
    </row>
    <row r="6" spans="1:13" s="3" customFormat="1" ht="8.1" customHeight="1">
      <c r="A6" s="122"/>
      <c r="B6" s="63"/>
      <c r="C6" s="65"/>
      <c r="D6" s="65"/>
      <c r="E6" s="66"/>
      <c r="F6" s="66"/>
      <c r="G6" s="66"/>
      <c r="H6" s="66"/>
    </row>
    <row r="7" spans="1:13" s="68" customFormat="1" ht="15" customHeight="1">
      <c r="A7" s="76" t="s">
        <v>45</v>
      </c>
      <c r="B7" s="76" t="s">
        <v>0</v>
      </c>
      <c r="C7" s="67"/>
      <c r="D7" s="67"/>
      <c r="E7" s="63"/>
      <c r="F7" s="63"/>
      <c r="G7" s="63"/>
      <c r="H7" s="63"/>
    </row>
    <row r="8" spans="1:13" s="68" customFormat="1" ht="15" customHeight="1">
      <c r="A8" s="77">
        <v>2018</v>
      </c>
      <c r="B8" s="96">
        <f>GETPIVOTDATA("REP",$A$15,"Año","2018*")</f>
        <v>22.104985306280465</v>
      </c>
      <c r="C8" s="69"/>
      <c r="D8" s="67"/>
      <c r="E8" s="63"/>
      <c r="F8" s="63"/>
      <c r="G8" s="63"/>
      <c r="H8" s="63"/>
    </row>
    <row r="9" spans="1:13" s="68" customFormat="1" ht="15" customHeight="1">
      <c r="A9" s="77">
        <v>2019</v>
      </c>
      <c r="B9" s="96">
        <f>GETPIVOTDATA("REP",$A$15,"Año",2019)</f>
        <v>19.023028965837586</v>
      </c>
      <c r="C9" s="67"/>
      <c r="D9" s="67"/>
      <c r="E9" s="63"/>
      <c r="F9" s="63"/>
      <c r="G9" s="63"/>
      <c r="H9" s="63"/>
    </row>
    <row r="10" spans="1:13" s="68" customFormat="1" ht="15" customHeight="1">
      <c r="A10" s="77">
        <v>2020</v>
      </c>
      <c r="B10" s="96">
        <f>GETPIVOTDATA("REP",$A$15,"Año",2020)</f>
        <v>8.7322168197370793</v>
      </c>
      <c r="C10" s="67"/>
      <c r="D10" s="67"/>
      <c r="E10" s="63"/>
      <c r="F10" s="63"/>
      <c r="G10" s="63"/>
      <c r="H10" s="63"/>
    </row>
    <row r="11" spans="1:13" s="68" customFormat="1" ht="15" customHeight="1">
      <c r="A11" s="77">
        <v>2021</v>
      </c>
      <c r="B11" s="96">
        <f>GETPIVOTDATA("REP",$A$15,"Año","2021****")</f>
        <v>16.100551764714325</v>
      </c>
      <c r="C11" s="67"/>
      <c r="D11" s="67"/>
      <c r="E11" s="63"/>
      <c r="F11" s="63"/>
      <c r="G11" s="63"/>
      <c r="H11" s="63"/>
    </row>
    <row r="12" spans="1:13" s="68" customFormat="1" ht="18">
      <c r="A12" s="77">
        <v>2022</v>
      </c>
      <c r="B12" s="96">
        <f>GETPIVOTDATA("REP",$A$15,"Año",2022)</f>
        <v>16.964893445326261</v>
      </c>
      <c r="C12" s="67"/>
      <c r="D12" s="67"/>
      <c r="E12" s="63"/>
      <c r="F12" s="63"/>
      <c r="G12" s="63"/>
      <c r="H12" s="63"/>
    </row>
    <row r="13" spans="1:13" s="68" customFormat="1" ht="15" customHeight="1">
      <c r="A13" s="79" t="s">
        <v>314</v>
      </c>
      <c r="B13" s="96">
        <f>B12-B11</f>
        <v>0.86434168061193617</v>
      </c>
      <c r="C13" s="67"/>
      <c r="D13" s="67"/>
      <c r="E13" s="63"/>
      <c r="F13" s="63"/>
      <c r="G13" s="63"/>
      <c r="H13" s="63"/>
    </row>
    <row r="14" spans="1:13" s="3" customFormat="1" ht="18.75">
      <c r="A14" s="71"/>
      <c r="B14" s="365"/>
      <c r="C14" s="365"/>
      <c r="D14" s="365"/>
      <c r="E14" s="366"/>
      <c r="F14" s="366"/>
      <c r="G14" s="366"/>
      <c r="H14" s="72"/>
    </row>
    <row r="15" spans="1:13" ht="15">
      <c r="A15" s="83" t="s">
        <v>168</v>
      </c>
      <c r="B15" s="47" t="s">
        <v>45</v>
      </c>
      <c r="G15" s="311"/>
      <c r="H15" s="311"/>
      <c r="I15"/>
      <c r="J15" s="2"/>
      <c r="K15" s="2"/>
      <c r="L15" s="2"/>
      <c r="M15" s="2"/>
    </row>
    <row r="16" spans="1:13" ht="27">
      <c r="A16" s="47" t="s">
        <v>156</v>
      </c>
      <c r="B16" s="217" t="s">
        <v>319</v>
      </c>
      <c r="C16" s="217" t="s">
        <v>320</v>
      </c>
      <c r="D16" s="217" t="s">
        <v>321</v>
      </c>
      <c r="E16" s="217" t="s">
        <v>322</v>
      </c>
      <c r="F16" s="48" t="s">
        <v>347</v>
      </c>
      <c r="G16" s="313" t="s">
        <v>331</v>
      </c>
      <c r="H16" s="313" t="s">
        <v>332</v>
      </c>
      <c r="I16"/>
      <c r="J16" s="2"/>
      <c r="K16" s="2"/>
      <c r="L16" s="2"/>
      <c r="M16" s="2"/>
    </row>
    <row r="17" spans="1:13" ht="15">
      <c r="A17" s="49" t="s">
        <v>49</v>
      </c>
      <c r="B17" s="209">
        <v>20.273333333333333</v>
      </c>
      <c r="C17" s="209">
        <v>17.247055192634122</v>
      </c>
      <c r="D17" s="209">
        <v>9.1800015312763197</v>
      </c>
      <c r="E17" s="209">
        <v>16.440234434135686</v>
      </c>
      <c r="F17" s="209">
        <v>15.688940277583658</v>
      </c>
      <c r="G17" s="332">
        <f>GETPIVOTDATA("REP",$A$15,"sost","Estatal","Año",2022)-GETPIVOTDATA("REP",$A$15,"sost","Estatal","Año","2021****")</f>
        <v>-0.75129415655202791</v>
      </c>
      <c r="H17" s="332">
        <f>GETPIVOTDATA("REP",$A$15,"sost","Estatal","Año",2022)-GETPIVOTDATA("REP",$A$15,"sost","Estatal","Año","2018*")</f>
        <v>-4.5843930557496755</v>
      </c>
      <c r="I17"/>
      <c r="J17" s="2"/>
      <c r="K17" s="2"/>
      <c r="L17" s="2"/>
      <c r="M17" s="2"/>
    </row>
    <row r="18" spans="1:13" ht="15">
      <c r="A18" s="51" t="s">
        <v>1</v>
      </c>
      <c r="B18" s="209">
        <v>17.126334519572953</v>
      </c>
      <c r="C18" s="209">
        <v>16.824966078697422</v>
      </c>
      <c r="D18" s="209">
        <v>12.482336316533207</v>
      </c>
      <c r="E18" s="209">
        <v>19.177038354076707</v>
      </c>
      <c r="F18" s="209">
        <v>16.48379688696096</v>
      </c>
      <c r="G18" s="333">
        <f>GETPIVOTDATA("REP",$A$15,"sost","Estatal","entidad","Aguascalientes","Año",2022)-GETPIVOTDATA("REP",$A$15,"sost","Estatal","entidad","Aguascalientes","Año","2021****")</f>
        <v>-2.6932414671157474</v>
      </c>
      <c r="H18" s="333">
        <f>G18-GETPIVOTDATA("REP",$A$15,"sost","Estatal","entidad","Aguascalientes","Año","2018*")</f>
        <v>-19.819575986688701</v>
      </c>
      <c r="I18"/>
      <c r="J18" s="2"/>
      <c r="K18" s="2"/>
      <c r="L18" s="2"/>
      <c r="M18" s="2"/>
    </row>
    <row r="19" spans="1:13" ht="15">
      <c r="A19" s="51" t="s">
        <v>3</v>
      </c>
      <c r="B19" s="209">
        <v>31.928775316025554</v>
      </c>
      <c r="C19" s="209">
        <v>28.114017961733701</v>
      </c>
      <c r="D19" s="209">
        <v>11.413182867401899</v>
      </c>
      <c r="E19" s="209">
        <v>14.311156341432389</v>
      </c>
      <c r="F19" s="209">
        <v>26.039651837524179</v>
      </c>
      <c r="G19" s="334">
        <f>GETPIVOTDATA("REP",$A$15,"sost","Estatal","entidad","Baja California","Año",2022)-GETPIVOTDATA("REP",$A$15,"sost","Estatal","entidad","Baja California","Año","2021****")</f>
        <v>11.72849549609179</v>
      </c>
      <c r="H19" s="334">
        <f>GETPIVOTDATA("REP",$A$15,"sost","Estatal","entidad","Baja California","Año",2022)-GETPIVOTDATA("REP",$A$15,"sost","Estatal","entidad","Baja California","Año","2018*")</f>
        <v>-5.8891234785013751</v>
      </c>
      <c r="I19"/>
      <c r="J19" s="2"/>
      <c r="K19" s="2"/>
      <c r="L19" s="2"/>
      <c r="M19" s="2"/>
    </row>
    <row r="20" spans="1:13" ht="15">
      <c r="A20" s="51" t="s">
        <v>4</v>
      </c>
      <c r="B20" s="209">
        <v>19.689119170984455</v>
      </c>
      <c r="C20" s="209">
        <v>17.211055276381909</v>
      </c>
      <c r="D20" s="209">
        <v>12.840195394277739</v>
      </c>
      <c r="E20" s="209">
        <v>23.894491854150505</v>
      </c>
      <c r="F20" s="209">
        <v>13.632958801498127</v>
      </c>
      <c r="G20" s="333">
        <f>GETPIVOTDATA("REP",$A$15,"sost","Estatal","entidad","Baja California Sur","Año",2022)-GETPIVOTDATA("REP",$A$15,"sost","Estatal","entidad","Baja California Sur","Año","2021****")</f>
        <v>-10.261533052652378</v>
      </c>
      <c r="H20" s="333">
        <f>GETPIVOTDATA("REP",$A$15,"sost","Estatal","entidad","Baja California Sur","Año",2022)-GETPIVOTDATA("REP",$A$15,"sost","Estatal","entidad","Baja California Sur","Año","2018*")</f>
        <v>-6.056160369486328</v>
      </c>
      <c r="I20"/>
      <c r="J20" s="2"/>
      <c r="K20" s="2"/>
      <c r="L20" s="2"/>
      <c r="M20" s="2"/>
    </row>
    <row r="21" spans="1:13" ht="15">
      <c r="A21" s="51" t="s">
        <v>5</v>
      </c>
      <c r="B21" s="209">
        <v>23.561811505507958</v>
      </c>
      <c r="C21" s="209">
        <v>20.36067481093659</v>
      </c>
      <c r="D21" s="209">
        <v>9.6262740656851644</v>
      </c>
      <c r="E21" s="209">
        <v>23.081534772182255</v>
      </c>
      <c r="F21" s="209">
        <v>15.519323671497585</v>
      </c>
      <c r="G21" s="334">
        <f>GETPIVOTDATA("REP",$A$15,"sost","Estatal","entidad","Campeche","Año",2022)-GETPIVOTDATA("REP",$A$15,"sost","Estatal","entidad","Campeche","Año","2021****")</f>
        <v>-7.5622111006846708</v>
      </c>
      <c r="H21" s="334">
        <f>GETPIVOTDATA("REP",$A$15,"sost","Estatal","entidad","Campeche","Año",2022)-GETPIVOTDATA("REP",$A$15,"sost","Estatal","entidad","Campeche","Año","2018*")</f>
        <v>-8.0424878340103731</v>
      </c>
      <c r="I21"/>
      <c r="J21" s="2"/>
      <c r="K21" s="2"/>
      <c r="L21" s="2"/>
      <c r="M21" s="2"/>
    </row>
    <row r="22" spans="1:13" ht="15">
      <c r="A22" s="51" t="s">
        <v>6</v>
      </c>
      <c r="B22" s="209">
        <v>17.744252873563219</v>
      </c>
      <c r="C22" s="209">
        <v>16.803469103298745</v>
      </c>
      <c r="D22" s="209">
        <v>4.750363548230732</v>
      </c>
      <c r="E22" s="209">
        <v>15.862271924661567</v>
      </c>
      <c r="F22" s="209">
        <v>13.612635524026235</v>
      </c>
      <c r="G22" s="333">
        <f>GETPIVOTDATA("REP",$A$15,"sost","Estatal","entidad","Chiapas","Año",2022)-GETPIVOTDATA("REP",$A$15,"sost","Estatal","entidad","Chiapas","Año","2021****")</f>
        <v>-2.2496364006353318</v>
      </c>
      <c r="H22" s="333">
        <f>GETPIVOTDATA("REP",$A$15,"sost","Estatal","entidad","Chiapas","Año",2022)-GETPIVOTDATA("REP",$A$15,"sost","Estatal","entidad","Chiapas","Año","2018*")</f>
        <v>-4.1316173495369846</v>
      </c>
      <c r="I22"/>
      <c r="J22" s="2"/>
      <c r="K22" s="2"/>
      <c r="L22" s="2"/>
      <c r="M22" s="2"/>
    </row>
    <row r="23" spans="1:13" ht="15">
      <c r="A23" s="51" t="s">
        <v>7</v>
      </c>
      <c r="B23" s="209">
        <v>23.695328031809147</v>
      </c>
      <c r="C23" s="209">
        <v>20.628864623075909</v>
      </c>
      <c r="D23" s="209">
        <v>20.187371663244353</v>
      </c>
      <c r="E23" s="209">
        <v>24.438761011651035</v>
      </c>
      <c r="F23" s="209">
        <v>15.166949632144878</v>
      </c>
      <c r="G23" s="334">
        <f>GETPIVOTDATA("REP",$A$15,"sost","Estatal","entidad","Chihuahua","Año",2022)-GETPIVOTDATA("REP",$A$15,"sost","Estatal","entidad","Chihuahua","Año","2021****")</f>
        <v>-9.2718113795061576</v>
      </c>
      <c r="H23" s="334">
        <f>GETPIVOTDATA("REP",$A$15,"sost","Estatal","entidad","Chihuahua","Año",2022)-GETPIVOTDATA("REP",$A$15,"sost","Estatal","entidad","Chihuahua","Año","2018*")</f>
        <v>-8.5283783996642697</v>
      </c>
      <c r="I23"/>
      <c r="J23" s="2"/>
      <c r="K23" s="2"/>
      <c r="L23" s="2"/>
      <c r="M23" s="2"/>
    </row>
    <row r="24" spans="1:13" ht="15">
      <c r="A24" s="51" t="s">
        <v>31</v>
      </c>
      <c r="B24" s="209">
        <v>8.1010543898110452</v>
      </c>
      <c r="C24" s="209">
        <v>10.443783949984626</v>
      </c>
      <c r="D24" s="209">
        <v>3.4970011182271019</v>
      </c>
      <c r="E24" s="209">
        <v>10.439281728720706</v>
      </c>
      <c r="F24" s="209">
        <v>8.1979398959328869</v>
      </c>
      <c r="G24" s="333">
        <f>GETPIVOTDATA("REP",$A$15,"sost","Estatal","entidad","Coahuila de Zaragoza","Año",2022)-GETPIVOTDATA("REP",$A$15,"sost","Estatal","entidad","Coahuila de Zaragoza","Año","2021****")</f>
        <v>-2.2413418327878194</v>
      </c>
      <c r="H24" s="333">
        <f>GETPIVOTDATA("REP",$A$15,"sost","Estatal","entidad","Coahuila de Zaragoza","Año",2022)-GETPIVOTDATA("REP",$A$15,"sost","Estatal","entidad","Coahuila de Zaragoza","Año","2018*")</f>
        <v>9.6885506121841658E-2</v>
      </c>
      <c r="I24"/>
      <c r="J24" s="2"/>
      <c r="K24" s="2"/>
      <c r="L24" s="2"/>
      <c r="M24" s="2"/>
    </row>
    <row r="25" spans="1:13" ht="15">
      <c r="A25" s="51" t="s">
        <v>8</v>
      </c>
      <c r="B25" s="209">
        <v>28.329297820823246</v>
      </c>
      <c r="C25" s="209">
        <v>24.657534246575342</v>
      </c>
      <c r="D25" s="209">
        <v>24.559341950646299</v>
      </c>
      <c r="E25" s="209">
        <v>21.236559139784948</v>
      </c>
      <c r="F25" s="209">
        <v>13.394018205461638</v>
      </c>
      <c r="G25" s="334">
        <f>GETPIVOTDATA("REP",$A$15,"sost","Estatal","entidad","Colima","Año",2022)-GETPIVOTDATA("REP",$A$15,"sost","Estatal","entidad","Colima","Año","2021****")</f>
        <v>-7.8425409343233099</v>
      </c>
      <c r="H25" s="334">
        <f>GETPIVOTDATA("REP",$A$15,"sost","Estatal","entidad","Colima","Año",2022)-GETPIVOTDATA("REP",$A$15,"sost","Estatal","entidad","Colima","Año","2018*")</f>
        <v>-14.935279615361608</v>
      </c>
      <c r="I25"/>
      <c r="J25" s="2"/>
      <c r="K25" s="2"/>
      <c r="L25" s="2"/>
      <c r="M25" s="2"/>
    </row>
    <row r="26" spans="1:13" ht="15">
      <c r="A26" s="51" t="s">
        <v>9</v>
      </c>
      <c r="B26" s="209">
        <v>29.011993146773275</v>
      </c>
      <c r="C26" s="209">
        <v>25.806451612903224</v>
      </c>
      <c r="D26" s="209">
        <v>20.049813200498132</v>
      </c>
      <c r="E26" s="209">
        <v>38.819875776397517</v>
      </c>
      <c r="F26" s="209">
        <v>21.752738654147105</v>
      </c>
      <c r="G26" s="333">
        <f>GETPIVOTDATA("REP",$A$15,"sost","Estatal","entidad","Durango","Año",2022)-GETPIVOTDATA("REP",$A$15,"sost","Estatal","entidad","Durango","Año","2021****")</f>
        <v>-17.067137122250411</v>
      </c>
      <c r="H26" s="333">
        <f>GETPIVOTDATA("REP",$A$15,"sost","Estatal","entidad","Durango","Año",2022)-GETPIVOTDATA("REP",$A$15,"sost","Estatal","entidad","Durango","Año","2018*")</f>
        <v>-7.2592544926261695</v>
      </c>
      <c r="I26"/>
      <c r="J26" s="2"/>
      <c r="K26" s="2"/>
      <c r="L26" s="2"/>
      <c r="M26" s="2"/>
    </row>
    <row r="27" spans="1:13" ht="15">
      <c r="A27" s="51" t="s">
        <v>10</v>
      </c>
      <c r="B27" s="209">
        <v>20.906859880799345</v>
      </c>
      <c r="C27" s="209">
        <v>16.79603534750418</v>
      </c>
      <c r="D27" s="209">
        <v>1.7890772128060264</v>
      </c>
      <c r="E27" s="209">
        <v>25.609912686183872</v>
      </c>
      <c r="F27" s="209">
        <v>18.071026077840386</v>
      </c>
      <c r="G27" s="334">
        <f>GETPIVOTDATA("REP",$A$15,"sost","Estatal","entidad","Guanajuato","Año",2022)-GETPIVOTDATA("REP",$A$15,"sost","Estatal","entidad","Guanajuato","Año","2021****")</f>
        <v>-7.5388866083434856</v>
      </c>
      <c r="H27" s="334">
        <f>GETPIVOTDATA("REP",$A$15,"sost","Estatal","entidad","Guanajuato","Año",2022)-GETPIVOTDATA("REP",$A$15,"sost","Estatal","entidad","Guanajuato","Año","2018*")</f>
        <v>-2.8358338029589589</v>
      </c>
      <c r="I27"/>
      <c r="J27" s="2"/>
      <c r="K27" s="2"/>
      <c r="L27" s="2"/>
      <c r="M27" s="2"/>
    </row>
    <row r="28" spans="1:13" ht="15">
      <c r="A28" s="51" t="s">
        <v>11</v>
      </c>
      <c r="B28" s="209">
        <v>25.749030666196688</v>
      </c>
      <c r="C28" s="209">
        <v>24.047662032857918</v>
      </c>
      <c r="D28" s="209">
        <v>21.827956989247312</v>
      </c>
      <c r="E28" s="209">
        <v>31.812749003984063</v>
      </c>
      <c r="F28" s="209">
        <v>19.461139896373055</v>
      </c>
      <c r="G28" s="333">
        <f>GETPIVOTDATA("REP",$A$15,"sost","Estatal","entidad","Guerrero","Año",2022)-GETPIVOTDATA("REP",$A$15,"sost","Estatal","entidad","Guerrero","Año","2021****")</f>
        <v>-12.351609107611008</v>
      </c>
      <c r="H28" s="333">
        <f>GETPIVOTDATA("REP",$A$15,"sost","Estatal","entidad","Guerrero","Año",2022)-GETPIVOTDATA("REP",$A$15,"sost","Estatal","entidad","Guerrero","Año","2018*")</f>
        <v>-6.2878907698236333</v>
      </c>
      <c r="I28"/>
      <c r="J28" s="2"/>
      <c r="K28" s="2"/>
      <c r="L28" s="2"/>
      <c r="M28" s="2"/>
    </row>
    <row r="29" spans="1:13" ht="15">
      <c r="A29" s="51" t="s">
        <v>12</v>
      </c>
      <c r="B29" s="209">
        <v>17.868901526489076</v>
      </c>
      <c r="C29" s="209">
        <v>11.35519801980198</v>
      </c>
      <c r="D29" s="209">
        <v>1.9125683060109291</v>
      </c>
      <c r="E29" s="209">
        <v>13.806299676184869</v>
      </c>
      <c r="F29" s="209">
        <v>16.196568769991277</v>
      </c>
      <c r="G29" s="334">
        <f>GETPIVOTDATA("REP",$A$15,"sost","Estatal","entidad","Hidalgo","Año",2022)-GETPIVOTDATA("REP",$A$15,"sost","Estatal","entidad","Hidalgo","Año","2021****")</f>
        <v>2.390269093806408</v>
      </c>
      <c r="H29" s="334">
        <f>GETPIVOTDATA("REP",$A$15,"sost","Estatal","entidad","Hidalgo","Año",2022)-GETPIVOTDATA("REP",$A$15,"sost","Estatal","entidad","Hidalgo","Año","2018*")</f>
        <v>-1.6723327564977986</v>
      </c>
      <c r="I29"/>
      <c r="J29" s="2"/>
      <c r="K29" s="2"/>
      <c r="L29" s="2"/>
      <c r="M29" s="2"/>
    </row>
    <row r="30" spans="1:13" ht="15">
      <c r="A30" s="51" t="s">
        <v>13</v>
      </c>
      <c r="B30" s="209">
        <v>21.580771215807712</v>
      </c>
      <c r="C30" s="209">
        <v>21.096552799875216</v>
      </c>
      <c r="D30" s="209">
        <v>15.431464051253657</v>
      </c>
      <c r="E30" s="209">
        <v>19.226673220283445</v>
      </c>
      <c r="F30" s="209">
        <v>20.248802219046819</v>
      </c>
      <c r="G30" s="333">
        <f>GETPIVOTDATA("REP",$A$15,"sost","Estatal","entidad","Jalisco","Año",2022)-GETPIVOTDATA("REP",$A$15,"sost","Estatal","entidad","Jalisco","Año","2021****")</f>
        <v>1.0221289987633746</v>
      </c>
      <c r="H30" s="333">
        <f>GETPIVOTDATA("REP",$A$15,"sost","Estatal","entidad","Jalisco","Año",2022)-GETPIVOTDATA("REP",$A$15,"sost","Estatal","entidad","Jalisco","Año","2018*")</f>
        <v>-1.3319689967608923</v>
      </c>
      <c r="I30"/>
      <c r="J30" s="2"/>
      <c r="K30" s="2"/>
      <c r="L30" s="2"/>
      <c r="M30" s="2"/>
    </row>
    <row r="31" spans="1:13" ht="15">
      <c r="A31" s="51" t="s">
        <v>14</v>
      </c>
      <c r="B31" s="209">
        <v>19.3457225538072</v>
      </c>
      <c r="C31" s="209">
        <v>15.857719832778288</v>
      </c>
      <c r="D31" s="209">
        <v>10.526932358660762</v>
      </c>
      <c r="E31" s="209">
        <v>10.02335854205694</v>
      </c>
      <c r="F31" s="209">
        <v>8.8117839607201311</v>
      </c>
      <c r="G31" s="334">
        <f>GETPIVOTDATA("REP",$A$15,"sost","Estatal","entidad","México","Año",2022)-GETPIVOTDATA("REP",$A$15,"sost","Estatal","entidad","México","Año","2021****")</f>
        <v>-1.2115745813368086</v>
      </c>
      <c r="H31" s="334">
        <f>GETPIVOTDATA("REP",$A$15,"sost","Estatal","entidad","México","Año",2022)-GETPIVOTDATA("REP",$A$15,"sost","Estatal","entidad","México","Año","2018*")</f>
        <v>-10.533938593087068</v>
      </c>
      <c r="I31"/>
      <c r="J31" s="2"/>
      <c r="K31" s="2"/>
      <c r="L31" s="2"/>
      <c r="M31" s="2"/>
    </row>
    <row r="32" spans="1:13" ht="15">
      <c r="A32" s="51" t="s">
        <v>30</v>
      </c>
      <c r="B32" s="209">
        <v>10.379221805253803</v>
      </c>
      <c r="C32" s="209">
        <v>8.5257371314342834</v>
      </c>
      <c r="D32" s="209">
        <v>4.6623952686052235</v>
      </c>
      <c r="E32" s="209">
        <v>7.0001068718606394</v>
      </c>
      <c r="F32" s="209">
        <v>8.7816374628548015</v>
      </c>
      <c r="G32" s="333">
        <f>GETPIVOTDATA("REP",$A$15,"sost","Estatal","entidad","Michoacán de Ocampo","Año",2022)-GETPIVOTDATA("REP",$A$15,"sost","Estatal","entidad","Michoacán de Ocampo","Año","2021****")</f>
        <v>1.7815305909941621</v>
      </c>
      <c r="H32" s="333">
        <f>GETPIVOTDATA("REP",$A$15,"sost","Estatal","entidad","Michoacán de Ocampo","Año",2022)-GETPIVOTDATA("REP",$A$15,"sost","Estatal","entidad","Michoacán de Ocampo","Año","2018*")</f>
        <v>-1.597584342399001</v>
      </c>
      <c r="I32"/>
      <c r="J32" s="2"/>
      <c r="K32" s="2"/>
      <c r="L32" s="2"/>
      <c r="M32" s="2"/>
    </row>
    <row r="33" spans="1:13" ht="15">
      <c r="A33" s="51" t="s">
        <v>15</v>
      </c>
      <c r="B33" s="209">
        <v>22.821675817617571</v>
      </c>
      <c r="C33" s="209">
        <v>20.339830084957523</v>
      </c>
      <c r="D33" s="209">
        <v>24.030005173305742</v>
      </c>
      <c r="E33" s="209">
        <v>22.206972275597035</v>
      </c>
      <c r="F33" s="209">
        <v>12.910406232609905</v>
      </c>
      <c r="G33" s="334">
        <f>GETPIVOTDATA("REP",$A$15,"sost","Estatal","entidad","Morelos","Año",2022)-GETPIVOTDATA("REP",$A$15,"sost","Estatal","entidad","Morelos","Año","2021****")</f>
        <v>-9.2965660429871306</v>
      </c>
      <c r="H33" s="334">
        <f>GETPIVOTDATA("REP",$A$15,"sost","Estatal","entidad","Morelos","Año",2022)-GETPIVOTDATA("REP",$A$15,"sost","Estatal","entidad","Morelos","Año","2018*")</f>
        <v>-9.9112695850076662</v>
      </c>
      <c r="I33"/>
      <c r="J33" s="2"/>
      <c r="K33" s="2"/>
      <c r="L33" s="2"/>
      <c r="M33" s="2"/>
    </row>
    <row r="34" spans="1:13" ht="15">
      <c r="A34" s="51" t="s">
        <v>16</v>
      </c>
      <c r="B34" s="209">
        <v>30.629264594389689</v>
      </c>
      <c r="C34" s="209">
        <v>29.198550140958517</v>
      </c>
      <c r="D34" s="209">
        <v>22.371092164027608</v>
      </c>
      <c r="E34" s="209">
        <v>40.763802407638025</v>
      </c>
      <c r="F34" s="209">
        <v>29.712812960235642</v>
      </c>
      <c r="G34" s="333">
        <f>GETPIVOTDATA("REP",$A$15,"sost","Estatal","entidad","Nayarit","Año",2022)-GETPIVOTDATA("REP",$A$15,"sost","Estatal","entidad","Nayarit","Año","2021****")</f>
        <v>-11.050989447402383</v>
      </c>
      <c r="H34" s="333">
        <f>GETPIVOTDATA("REP",$A$15,"sost","Estatal","entidad","Nayarit","Año",2022)-GETPIVOTDATA("REP",$A$15,"sost","Estatal","entidad","Nayarit","Año","2018*")</f>
        <v>-0.91645163415404696</v>
      </c>
      <c r="I34"/>
      <c r="J34" s="2"/>
      <c r="K34" s="2"/>
      <c r="L34" s="2"/>
      <c r="M34" s="2"/>
    </row>
    <row r="35" spans="1:13" ht="15">
      <c r="A35" s="51" t="s">
        <v>17</v>
      </c>
      <c r="B35" s="209">
        <v>20.774310631647928</v>
      </c>
      <c r="C35" s="209">
        <v>16.241813602015114</v>
      </c>
      <c r="D35" s="209">
        <v>5.7220062577036126</v>
      </c>
      <c r="E35" s="209">
        <v>8.8939136988882606</v>
      </c>
      <c r="F35" s="209">
        <v>26.340362218459802</v>
      </c>
      <c r="G35" s="334">
        <f>GETPIVOTDATA("REP",$A$15,"sost","Estatal","entidad","Nuevo León","Año",2022)-GETPIVOTDATA("REP",$A$15,"sost","Estatal","entidad","Nuevo León","Año","2021****")</f>
        <v>17.44644851957154</v>
      </c>
      <c r="H35" s="334">
        <f>GETPIVOTDATA("REP",$A$15,"sost","Estatal","entidad","Nuevo León","Año",2022)-GETPIVOTDATA("REP",$A$15,"sost","Estatal","entidad","Nuevo León","Año","2018*")</f>
        <v>5.5660515868118736</v>
      </c>
      <c r="I35"/>
      <c r="J35" s="2"/>
      <c r="K35" s="2"/>
      <c r="L35" s="2"/>
      <c r="M35" s="2"/>
    </row>
    <row r="36" spans="1:13" ht="15">
      <c r="A36" s="51" t="s">
        <v>18</v>
      </c>
      <c r="B36" s="209">
        <v>11.026122095540481</v>
      </c>
      <c r="C36" s="209">
        <v>9.7386109036594473</v>
      </c>
      <c r="D36" s="209">
        <v>0.162026808071881</v>
      </c>
      <c r="E36" s="209">
        <v>3.7422952744349871</v>
      </c>
      <c r="F36" s="209">
        <v>13.37142857142857</v>
      </c>
      <c r="G36" s="333">
        <f>GETPIVOTDATA("REP",$A$15,"sost","Estatal","entidad","Puebla","Año",2022)-GETPIVOTDATA("REP",$A$15,"sost","Estatal","entidad","Puebla","Año","2021****")</f>
        <v>9.629133296993583</v>
      </c>
      <c r="H36" s="333">
        <f>GETPIVOTDATA("REP",$A$15,"sost","Estatal","entidad","Puebla","Año",2022)-GETPIVOTDATA("REP",$A$15,"sost","Estatal","entidad","Puebla","Año","2018*")</f>
        <v>2.3453064758880888</v>
      </c>
      <c r="I36"/>
      <c r="J36" s="2"/>
      <c r="K36" s="2"/>
      <c r="L36" s="2"/>
      <c r="M36" s="2"/>
    </row>
    <row r="37" spans="1:13" ht="15">
      <c r="A37" s="51" t="s">
        <v>29</v>
      </c>
      <c r="B37" s="209">
        <v>25.078665827564507</v>
      </c>
      <c r="C37" s="209">
        <v>23.928911456680417</v>
      </c>
      <c r="D37" s="209">
        <v>22.085696282293636</v>
      </c>
      <c r="E37" s="209">
        <v>27.166033828098037</v>
      </c>
      <c r="F37" s="209">
        <v>22.895408163265309</v>
      </c>
      <c r="G37" s="334">
        <f>GETPIVOTDATA("REP",$A$15,"sost","Estatal","entidad","Querétaro de Arteaga","Año",2022)-GETPIVOTDATA("REP",$A$15,"sost","Estatal","entidad","Querétaro de Arteaga","Año","2021****")</f>
        <v>-4.2706256648327283</v>
      </c>
      <c r="H37" s="334">
        <f>GETPIVOTDATA("REP",$A$15,"sost","Estatal","entidad","Querétaro de Arteaga","Año",2022)-GETPIVOTDATA("REP",$A$15,"sost","Estatal","entidad","Querétaro de Arteaga","Año","2018*")</f>
        <v>-2.1832576642991981</v>
      </c>
      <c r="I37"/>
      <c r="J37" s="2"/>
      <c r="K37" s="2"/>
      <c r="L37" s="2"/>
      <c r="M37" s="2"/>
    </row>
    <row r="38" spans="1:13" ht="15">
      <c r="A38" s="51" t="s">
        <v>19</v>
      </c>
      <c r="B38" s="209">
        <v>17.568578553615961</v>
      </c>
      <c r="C38" s="209">
        <v>14.973941782127875</v>
      </c>
      <c r="D38" s="209">
        <v>7.0628997867803838</v>
      </c>
      <c r="E38" s="209">
        <v>13.620940378090159</v>
      </c>
      <c r="F38" s="209">
        <v>7.1847507331378306</v>
      </c>
      <c r="G38" s="333">
        <f>GETPIVOTDATA("REP",$A$15,"sost","Estatal","entidad","Quintana Roo","Año",2022)-GETPIVOTDATA("REP",$A$15,"sost","Estatal","entidad","Quintana Roo","Año","2021****")</f>
        <v>-6.4361896449523286</v>
      </c>
      <c r="H38" s="333">
        <f>GETPIVOTDATA("REP",$A$15,"sost","Estatal","entidad","Quintana Roo","Año",2022)-GETPIVOTDATA("REP",$A$15,"sost","Estatal","entidad","Quintana Roo","Año","2018*")</f>
        <v>-10.38382782047813</v>
      </c>
      <c r="I38"/>
      <c r="J38" s="2"/>
      <c r="K38" s="2"/>
      <c r="L38" s="2"/>
      <c r="M38" s="2"/>
    </row>
    <row r="39" spans="1:13" ht="15">
      <c r="A39" s="51" t="s">
        <v>20</v>
      </c>
      <c r="B39" s="209">
        <v>27.924005541262613</v>
      </c>
      <c r="C39" s="209">
        <v>21.430078042607047</v>
      </c>
      <c r="D39" s="209">
        <v>9.8483230079042947</v>
      </c>
      <c r="E39" s="209">
        <v>26.294913672421838</v>
      </c>
      <c r="F39" s="209">
        <v>23.349217154526887</v>
      </c>
      <c r="G39" s="334">
        <f>GETPIVOTDATA("REP",$A$15,"sost","Estatal","entidad","San Luis Potosí","Año",2022)-GETPIVOTDATA("REP",$A$15,"sost","Estatal","entidad","San Luis Potosí","Año","2021****")</f>
        <v>-2.9456965178949517</v>
      </c>
      <c r="H39" s="334">
        <f>GETPIVOTDATA("REP",$A$15,"sost","Estatal","entidad","San Luis Potosí","Año",2022)-GETPIVOTDATA("REP",$A$15,"sost","Estatal","entidad","San Luis Potosí","Año","2018*")</f>
        <v>-4.574788386735726</v>
      </c>
      <c r="I39"/>
      <c r="J39" s="2"/>
      <c r="K39" s="2"/>
      <c r="L39" s="2"/>
      <c r="M39" s="2"/>
    </row>
    <row r="40" spans="1:13" ht="15">
      <c r="A40" s="51" t="s">
        <v>21</v>
      </c>
      <c r="B40" s="209">
        <v>23.70417193426043</v>
      </c>
      <c r="C40" s="209">
        <v>22.870888050968667</v>
      </c>
      <c r="D40" s="209">
        <v>5.0691823899371071</v>
      </c>
      <c r="E40" s="209">
        <v>21.435341909275561</v>
      </c>
      <c r="F40" s="209">
        <v>15.965508230990332</v>
      </c>
      <c r="G40" s="333">
        <f>GETPIVOTDATA("REP",$A$15,"sost","Estatal","entidad","Sinaloa","Año",2022)-GETPIVOTDATA("REP",$A$15,"sost","Estatal","entidad","Sinaloa","Año","2021****")</f>
        <v>-5.4698336782852284</v>
      </c>
      <c r="H40" s="333">
        <f>GETPIVOTDATA("REP",$A$15,"sost","Estatal","entidad","Sinaloa","Año",2022)-GETPIVOTDATA("REP",$A$15,"sost","Estatal","entidad","Sinaloa","Año","2018*")</f>
        <v>-7.7386637032700971</v>
      </c>
      <c r="I40"/>
      <c r="J40" s="2"/>
      <c r="K40" s="2"/>
      <c r="L40" s="2"/>
      <c r="M40" s="2"/>
    </row>
    <row r="41" spans="1:13" ht="15">
      <c r="A41" s="51" t="s">
        <v>22</v>
      </c>
      <c r="B41" s="209">
        <v>29.446510610369721</v>
      </c>
      <c r="C41" s="209">
        <v>19.762816735415438</v>
      </c>
      <c r="D41" s="209">
        <v>11.066965253196562</v>
      </c>
      <c r="E41" s="209">
        <v>30.124356775300171</v>
      </c>
      <c r="F41" s="209">
        <v>25.374920791382106</v>
      </c>
      <c r="G41" s="334">
        <f>GETPIVOTDATA("REP",$A$15,"sost","Estatal","entidad","Sonora","Año",2022)-GETPIVOTDATA("REP",$A$15,"sost","Estatal","entidad","Sonora","Año","2021****")</f>
        <v>-4.7494359839180653</v>
      </c>
      <c r="H41" s="334">
        <f>GETPIVOTDATA("REP",$A$15,"sost","Estatal","entidad","Sonora","Año",2022)-GETPIVOTDATA("REP",$A$15,"sost","Estatal","entidad","Sonora","Año","2018*")</f>
        <v>-4.071589818987615</v>
      </c>
      <c r="I41"/>
      <c r="J41" s="2"/>
      <c r="K41" s="2"/>
      <c r="L41" s="2"/>
      <c r="M41" s="2"/>
    </row>
    <row r="42" spans="1:13" ht="15">
      <c r="A42" s="51" t="s">
        <v>23</v>
      </c>
      <c r="B42" s="209">
        <v>12.114371708051166</v>
      </c>
      <c r="C42" s="209">
        <v>10.548025928108427</v>
      </c>
      <c r="D42" s="209">
        <v>4.7030689517736155</v>
      </c>
      <c r="E42" s="209">
        <v>5.8264212016993726</v>
      </c>
      <c r="F42" s="209">
        <v>6.8338437978560487</v>
      </c>
      <c r="G42" s="333">
        <f>GETPIVOTDATA("REP",$A$15,"sost","Estatal","entidad","Tabasco","Año",2022)-GETPIVOTDATA("REP",$A$15,"sost","Estatal","entidad","Tabasco","Año","2021****")</f>
        <v>1.0074225961566761</v>
      </c>
      <c r="H42" s="333">
        <f>GETPIVOTDATA("REP",$A$15,"sost","Estatal","entidad","Tabasco","Año",2022)-GETPIVOTDATA("REP",$A$15,"sost","Estatal","entidad","Tabasco","Año","2018*")</f>
        <v>-5.2805279101951177</v>
      </c>
      <c r="I42"/>
      <c r="J42" s="2"/>
      <c r="K42" s="2"/>
      <c r="L42" s="2"/>
      <c r="M42" s="2"/>
    </row>
    <row r="43" spans="1:13" ht="15">
      <c r="A43" s="51" t="s">
        <v>24</v>
      </c>
      <c r="B43" s="209">
        <v>22.366965712178935</v>
      </c>
      <c r="C43" s="209">
        <v>18.639599261798047</v>
      </c>
      <c r="D43" s="209">
        <v>4.940492665375035</v>
      </c>
      <c r="E43" s="209">
        <v>12.581505631298162</v>
      </c>
      <c r="F43" s="209">
        <v>12.788974510966211</v>
      </c>
      <c r="G43" s="334">
        <f>GETPIVOTDATA("REP",$A$15,"sost","Estatal","entidad","Tamaulipas","Año",2022)-GETPIVOTDATA("REP",$A$15,"sost","Estatal","entidad","Tamaulipas","Año","2021****")</f>
        <v>0.20746887966804906</v>
      </c>
      <c r="H43" s="334">
        <f>GETPIVOTDATA("REP",$A$15,"sost","Estatal","entidad","Tamaulipas","Año",2022)-GETPIVOTDATA("REP",$A$15,"sost","Estatal","entidad","Tamaulipas","Año","2018*")</f>
        <v>-9.5779912012127237</v>
      </c>
      <c r="I43"/>
      <c r="J43" s="2"/>
      <c r="K43" s="2"/>
      <c r="L43" s="2"/>
      <c r="M43" s="2"/>
    </row>
    <row r="44" spans="1:13" ht="15">
      <c r="A44" s="51" t="s">
        <v>25</v>
      </c>
      <c r="B44" s="209">
        <v>13.056680161943321</v>
      </c>
      <c r="C44" s="209">
        <v>8.3473013744552453</v>
      </c>
      <c r="D44" s="209">
        <v>2.0988490182802981</v>
      </c>
      <c r="E44" s="209">
        <v>11.279229711141678</v>
      </c>
      <c r="F44" s="209">
        <v>12.023460410557185</v>
      </c>
      <c r="G44" s="333">
        <f>GETPIVOTDATA("REP",$A$15,"sost","Estatal","entidad","Tlaxcala","Año",2022)-GETPIVOTDATA("REP",$A$15,"sost","Estatal","entidad","Tlaxcala","Año","2021****")</f>
        <v>0.74423069941550679</v>
      </c>
      <c r="H44" s="333">
        <f>GETPIVOTDATA("REP",$A$15,"sost","Estatal","entidad","Tlaxcala","Año",2022)-GETPIVOTDATA("REP",$A$15,"sost","Estatal","entidad","Tlaxcala","Año","2018*")</f>
        <v>-1.0332197513861363</v>
      </c>
      <c r="I44"/>
      <c r="J44" s="2"/>
      <c r="K44" s="2"/>
      <c r="L44" s="2"/>
      <c r="M44" s="2"/>
    </row>
    <row r="45" spans="1:13" ht="15">
      <c r="A45" s="51" t="s">
        <v>53</v>
      </c>
      <c r="B45" s="209">
        <v>12.134132288545747</v>
      </c>
      <c r="C45" s="209">
        <v>10.107345314196117</v>
      </c>
      <c r="D45" s="209">
        <v>2.1908694654737326</v>
      </c>
      <c r="E45" s="209">
        <v>12.09960839441711</v>
      </c>
      <c r="F45" s="209">
        <v>10.960021756867011</v>
      </c>
      <c r="G45" s="334">
        <f>GETPIVOTDATA("REP",$A$15,"sost","Estatal","entidad","Veracruz llave","Año",2022)-GETPIVOTDATA("REP",$A$15,"sost","Estatal","entidad","Veracruz llave","Año","2021****")</f>
        <v>-1.1395866375500994</v>
      </c>
      <c r="H45" s="334">
        <f>GETPIVOTDATA("REP",$A$15,"sost","Estatal","entidad","Veracruz llave","Año",2022)-GETPIVOTDATA("REP",$A$15,"sost","Estatal","entidad","Veracruz llave","Año","2018*")</f>
        <v>-1.1741105316787355</v>
      </c>
      <c r="I45"/>
      <c r="J45" s="2"/>
      <c r="K45" s="2"/>
      <c r="L45" s="2"/>
      <c r="M45" s="2"/>
    </row>
    <row r="46" spans="1:13" ht="15">
      <c r="A46" s="51" t="s">
        <v>26</v>
      </c>
      <c r="B46" s="209">
        <v>23.98797595190381</v>
      </c>
      <c r="C46" s="209">
        <v>22.444678609062173</v>
      </c>
      <c r="D46" s="209">
        <v>13.794514940646746</v>
      </c>
      <c r="E46" s="209">
        <v>33.555746879035731</v>
      </c>
      <c r="F46" s="209">
        <v>21.525885558583106</v>
      </c>
      <c r="G46" s="333">
        <f>GETPIVOTDATA("REP",$A$15,"sost","Estatal","entidad","Yucatán","Año",2022)-GETPIVOTDATA("REP",$A$15,"sost","Estatal","entidad","Yucatán","Año","2021****")</f>
        <v>-12.029861320452625</v>
      </c>
      <c r="H46" s="333">
        <f>GETPIVOTDATA("REP",$A$15,"sost","Estatal","entidad","Yucatán","Año",2022)-GETPIVOTDATA("REP",$A$15,"sost","Estatal","entidad","Yucatán","Año","2018*")</f>
        <v>-2.4620903933207039</v>
      </c>
      <c r="I46"/>
      <c r="J46" s="2"/>
      <c r="K46" s="2"/>
      <c r="L46" s="2"/>
      <c r="M46" s="2"/>
    </row>
    <row r="47" spans="1:13" ht="15">
      <c r="A47" s="292" t="s">
        <v>27</v>
      </c>
      <c r="B47" s="209">
        <v>36.528685548293396</v>
      </c>
      <c r="C47" s="209">
        <v>38.863287250384026</v>
      </c>
      <c r="D47" s="209">
        <v>41.530944625407166</v>
      </c>
      <c r="E47" s="209">
        <v>37.769447047797563</v>
      </c>
      <c r="F47" s="209">
        <v>42.407108239095315</v>
      </c>
      <c r="G47" s="334">
        <f>GETPIVOTDATA("REP",$A$15,"sost","Estatal","entidad","Zacatecas","Año",2022)-GETPIVOTDATA("REP",$A$15,"sost","Estatal","entidad","Zacatecas","Año","2021****")</f>
        <v>4.6376611912977523</v>
      </c>
      <c r="H47" s="334">
        <f>GETPIVOTDATA("REP",$A$15,"sost","Estatal","entidad","Zacatecas","Año",2022)-GETPIVOTDATA("REP",$A$15,"sost","Estatal","entidad","Zacatecas","Año","2018*")</f>
        <v>5.8784226908019193</v>
      </c>
      <c r="I47"/>
      <c r="J47" s="2"/>
      <c r="K47" s="2"/>
      <c r="L47" s="2"/>
      <c r="M47" s="2"/>
    </row>
    <row r="48" spans="1:13" ht="15">
      <c r="A48" s="293" t="s">
        <v>50</v>
      </c>
      <c r="B48" s="290">
        <v>32.06525433329557</v>
      </c>
      <c r="C48" s="290">
        <v>28.823863367554527</v>
      </c>
      <c r="D48" s="290">
        <v>6.2582252303064481</v>
      </c>
      <c r="E48" s="290">
        <v>14.448861126884976</v>
      </c>
      <c r="F48" s="290">
        <v>23.124578298472674</v>
      </c>
      <c r="G48" s="335">
        <f>GETPIVOTDATA("REP",$A$15,"sost","Federal","Año",2022)-GETPIVOTDATA("REP",$A$15,"sost","Federal","Año","2021****")</f>
        <v>8.6757171715876975</v>
      </c>
      <c r="H48" s="335">
        <f>GETPIVOTDATA("REP",$A$15,"sost","Federal","Año",2022)-GETPIVOTDATA("REP",$A$15,"sost","Federal","Año","2018*")</f>
        <v>-8.9406760348228964</v>
      </c>
      <c r="I48"/>
      <c r="J48" s="2"/>
      <c r="K48" s="2"/>
      <c r="L48" s="2"/>
      <c r="M48" s="2"/>
    </row>
    <row r="49" spans="1:13" ht="15">
      <c r="A49" s="292" t="s">
        <v>32</v>
      </c>
      <c r="B49" s="209">
        <v>33.322862677346734</v>
      </c>
      <c r="C49" s="209">
        <v>29.961057705400179</v>
      </c>
      <c r="D49" s="209">
        <v>4.2226071892594197</v>
      </c>
      <c r="E49" s="209">
        <v>11.968693274240316</v>
      </c>
      <c r="F49" s="209">
        <v>23.310017999134221</v>
      </c>
      <c r="G49" s="334">
        <f>GETPIVOTDATA("REP",$A$15,"sost","Federal","entidad","Ciudad de México","Año",2022)-GETPIVOTDATA("REP",$A$15,"sost","Federal","entidad","Ciudad de México","Año","2021****")</f>
        <v>11.341324724893905</v>
      </c>
      <c r="H49" s="334">
        <f>GETPIVOTDATA("REP",$A$15,"sost","Federal","entidad","Ciudad de México","Año",2022)-GETPIVOTDATA("REP",$A$15,"sost","Federal","entidad","Ciudad de México","Año","2018*")</f>
        <v>-10.012844678212513</v>
      </c>
      <c r="I49"/>
      <c r="J49" s="2"/>
      <c r="K49" s="2"/>
      <c r="L49" s="2"/>
      <c r="M49" s="2"/>
    </row>
    <row r="50" spans="1:13" ht="15">
      <c r="A50" s="292" t="s">
        <v>28</v>
      </c>
      <c r="B50" s="209">
        <v>23.967638631383785</v>
      </c>
      <c r="C50" s="209">
        <v>21.303799747884028</v>
      </c>
      <c r="D50" s="209">
        <v>19.66833095577746</v>
      </c>
      <c r="E50" s="209">
        <v>34.964898595943836</v>
      </c>
      <c r="F50" s="209">
        <v>21.502590673575128</v>
      </c>
      <c r="G50" s="333">
        <f>GETPIVOTDATA("REP",$A$15,"sost","Federal","entidad","Oaxaca","Año",2022)-GETPIVOTDATA("REP",$A$15,"sost","Federal","entidad","Oaxaca","Año","2021****")</f>
        <v>-13.462307922368709</v>
      </c>
      <c r="H50" s="333">
        <f>GETPIVOTDATA("REP",$A$15,"sost","Federal","entidad","Oaxaca","Año",2022)-GETPIVOTDATA("REP",$A$15,"sost","Federal","entidad","Oaxaca","Año","2018*")</f>
        <v>-2.4650479578086575</v>
      </c>
      <c r="I50"/>
      <c r="J50" s="2"/>
      <c r="K50" s="2"/>
      <c r="L50" s="2"/>
      <c r="M50" s="2"/>
    </row>
    <row r="51" spans="1:13" ht="15" hidden="1">
      <c r="A51" s="292" t="s">
        <v>39</v>
      </c>
      <c r="B51" s="209">
        <v>0</v>
      </c>
      <c r="C51" s="209">
        <v>0</v>
      </c>
      <c r="D51" s="209">
        <v>0</v>
      </c>
      <c r="E51" s="209">
        <v>0</v>
      </c>
      <c r="F51" s="209">
        <v>0</v>
      </c>
      <c r="G51" s="334">
        <f>GETPIVOTDATA("REP",$A$15,"sost","Federal","entidad","Oficinas Nacionales","Año",2022)-GETPIVOTDATA("REP",$A$15,"sost","Federal","entidad","Oficinas Nacionales","Año","2021****")</f>
        <v>0</v>
      </c>
      <c r="H51" s="334">
        <f>GETPIVOTDATA("REP",$A$15,"sost","Federal","entidad","Oficinas Nacionales","Año",2022)-GETPIVOTDATA("REP",$A$15,"sost","Federal","entidad","Oficinas Nacionales","Año","2018*")</f>
        <v>0</v>
      </c>
      <c r="I51"/>
    </row>
    <row r="52" spans="1:13" ht="15" hidden="1">
      <c r="A52" s="293" t="s">
        <v>37</v>
      </c>
      <c r="B52" s="209">
        <v>22.104985306280465</v>
      </c>
      <c r="C52" s="209">
        <v>19.023028965837586</v>
      </c>
      <c r="D52" s="209">
        <v>8.7322168197370793</v>
      </c>
      <c r="E52" s="209">
        <v>16.100551764714325</v>
      </c>
      <c r="F52" s="209">
        <v>16.964893445326261</v>
      </c>
      <c r="G52" s="330">
        <f>GETPIVOTDATA("REP",$A$15,"Año",2022)-GETPIVOTDATA("REP",$A$15,"Año","2021****")</f>
        <v>0.86434168061193617</v>
      </c>
      <c r="H52" s="330">
        <f>GETPIVOTDATA("REP",$A$15,"Año",2022)-GETPIVOTDATA("REP",$A$15,"Año","2018*")</f>
        <v>-5.1400918609542039</v>
      </c>
      <c r="I52"/>
    </row>
    <row r="53" spans="1:13" ht="14.25" customHeight="1">
      <c r="A53" s="84" t="s">
        <v>43</v>
      </c>
      <c r="B53" s="85"/>
      <c r="C53" s="85"/>
      <c r="D53" s="85"/>
      <c r="E53" s="85"/>
      <c r="F53" s="85"/>
      <c r="G53" s="85"/>
      <c r="H53" s="85"/>
    </row>
    <row r="54" spans="1:13" ht="87.75" customHeight="1">
      <c r="A54" s="369" t="s">
        <v>351</v>
      </c>
      <c r="B54" s="369"/>
      <c r="C54" s="369"/>
      <c r="D54" s="369"/>
      <c r="E54" s="369"/>
      <c r="F54" s="369"/>
      <c r="G54" s="369"/>
    </row>
  </sheetData>
  <mergeCells count="4">
    <mergeCell ref="B14:D14"/>
    <mergeCell ref="E14:G14"/>
    <mergeCell ref="A5:H5"/>
    <mergeCell ref="A54:G54"/>
  </mergeCells>
  <printOptions horizontalCentered="1"/>
  <pageMargins left="0.70866141732283472" right="0.70866141732283472" top="0.74803149606299213" bottom="0.74803149606299213" header="0.31496062992125984" footer="0.31496062992125984"/>
  <pageSetup paperSize="9" scale="88" orientation="portrait" r:id="rId2"/>
  <drawing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57"/>
  <sheetViews>
    <sheetView showGridLines="0" view="pageBreakPreview" zoomScale="115" zoomScaleNormal="120" zoomScaleSheetLayoutView="115" workbookViewId="0">
      <selection activeCell="L39" sqref="L39"/>
    </sheetView>
  </sheetViews>
  <sheetFormatPr baseColWidth="10" defaultColWidth="11.42578125" defaultRowHeight="13.5"/>
  <cols>
    <col min="1" max="1" width="23.5703125" style="48" customWidth="1"/>
    <col min="2" max="8" width="9.5703125" style="48" customWidth="1"/>
    <col min="9" max="9" width="11.5703125" style="48" bestFit="1" customWidth="1"/>
    <col min="10" max="10" width="15.140625" style="48" bestFit="1"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H1" s="64" t="s">
        <v>48</v>
      </c>
    </row>
    <row r="2" spans="1:11" s="3" customFormat="1" ht="15" customHeight="1">
      <c r="B2" s="1"/>
      <c r="C2" s="1"/>
      <c r="D2" s="1"/>
      <c r="E2" s="1"/>
      <c r="H2" s="6" t="s">
        <v>42</v>
      </c>
    </row>
    <row r="3" spans="1:11" s="3" customFormat="1" ht="15" customHeight="1">
      <c r="B3" s="1"/>
      <c r="C3" s="1"/>
      <c r="D3" s="1"/>
      <c r="E3" s="1"/>
      <c r="F3" s="1"/>
    </row>
    <row r="4" spans="1:11" s="3" customFormat="1" ht="6.75" customHeight="1">
      <c r="B4" s="1"/>
      <c r="C4" s="1"/>
      <c r="D4" s="1"/>
      <c r="E4" s="1"/>
      <c r="F4" s="1"/>
    </row>
    <row r="5" spans="1:11" s="3" customFormat="1" ht="15" customHeight="1">
      <c r="A5" s="367" t="s">
        <v>169</v>
      </c>
      <c r="B5" s="367"/>
      <c r="C5" s="367"/>
      <c r="D5" s="367"/>
      <c r="E5" s="367"/>
      <c r="F5" s="367"/>
      <c r="G5" s="367"/>
      <c r="H5" s="367"/>
    </row>
    <row r="6" spans="1:11" s="3" customFormat="1" ht="8.1" customHeight="1">
      <c r="A6" s="5"/>
      <c r="B6" s="63"/>
      <c r="C6" s="65"/>
      <c r="D6" s="65"/>
      <c r="E6" s="66"/>
      <c r="F6" s="66"/>
    </row>
    <row r="7" spans="1:11" s="68" customFormat="1" ht="15" customHeight="1">
      <c r="A7" s="76" t="s">
        <v>45</v>
      </c>
      <c r="B7" s="76" t="s">
        <v>0</v>
      </c>
      <c r="C7" s="67"/>
      <c r="D7" s="67"/>
      <c r="E7" s="63"/>
      <c r="F7" s="63"/>
    </row>
    <row r="8" spans="1:11" s="68" customFormat="1" ht="15" customHeight="1">
      <c r="A8" s="77">
        <v>2018</v>
      </c>
      <c r="B8" s="96">
        <f>$B$54</f>
        <v>50.182474621570293</v>
      </c>
      <c r="C8" s="69"/>
      <c r="D8" s="67"/>
      <c r="E8" s="63"/>
      <c r="F8" s="63"/>
    </row>
    <row r="9" spans="1:11" s="68" customFormat="1" ht="15" customHeight="1">
      <c r="A9" s="77">
        <v>2019</v>
      </c>
      <c r="B9" s="96">
        <f>$C$54</f>
        <v>53.131455399061032</v>
      </c>
      <c r="C9" s="67"/>
      <c r="D9" s="67"/>
      <c r="E9" s="63"/>
      <c r="F9" s="63"/>
    </row>
    <row r="10" spans="1:11" s="68" customFormat="1" ht="15" customHeight="1">
      <c r="A10" s="77">
        <v>2020</v>
      </c>
      <c r="B10" s="96">
        <f>$D$54</f>
        <v>56.755098789037604</v>
      </c>
      <c r="C10" s="67"/>
      <c r="D10" s="67"/>
      <c r="E10" s="63"/>
      <c r="F10" s="63"/>
    </row>
    <row r="11" spans="1:11" s="68" customFormat="1" ht="15" customHeight="1">
      <c r="A11" s="77">
        <v>2021</v>
      </c>
      <c r="B11" s="96">
        <f>$E$54</f>
        <v>55.71442939519914</v>
      </c>
      <c r="C11" s="67"/>
      <c r="D11" s="67"/>
      <c r="E11" s="63"/>
      <c r="F11" s="63"/>
    </row>
    <row r="12" spans="1:11" s="68" customFormat="1" ht="15" customHeight="1">
      <c r="A12" s="77">
        <v>2022</v>
      </c>
      <c r="B12" s="96">
        <f>$F$54</f>
        <v>56.537498568132349</v>
      </c>
      <c r="C12" s="67"/>
      <c r="D12" s="67"/>
      <c r="E12" s="63"/>
      <c r="F12" s="63"/>
    </row>
    <row r="13" spans="1:11" s="68" customFormat="1" ht="15" customHeight="1">
      <c r="A13" s="79" t="s">
        <v>314</v>
      </c>
      <c r="B13" s="78">
        <f>B12-B11</f>
        <v>0.82306917293320936</v>
      </c>
      <c r="C13" s="67"/>
      <c r="D13" s="67"/>
      <c r="E13" s="63"/>
      <c r="F13" s="63"/>
    </row>
    <row r="14" spans="1:11" s="3" customFormat="1" ht="12.75" customHeight="1">
      <c r="A14" s="71"/>
      <c r="B14" s="365"/>
      <c r="C14" s="365"/>
      <c r="D14" s="365"/>
      <c r="E14" s="366"/>
      <c r="F14" s="366"/>
    </row>
    <row r="15" spans="1:11">
      <c r="A15" s="83" t="s">
        <v>172</v>
      </c>
      <c r="B15" s="47" t="s">
        <v>45</v>
      </c>
      <c r="G15" s="311"/>
      <c r="H15" s="311"/>
      <c r="I15" s="2"/>
      <c r="J15" s="2"/>
      <c r="K15" s="2"/>
    </row>
    <row r="16" spans="1:11" ht="27">
      <c r="A16" s="47" t="s">
        <v>156</v>
      </c>
      <c r="B16" s="48">
        <v>2018</v>
      </c>
      <c r="C16" s="48">
        <v>2019</v>
      </c>
      <c r="D16" s="48">
        <v>2020</v>
      </c>
      <c r="E16" s="48">
        <v>2021</v>
      </c>
      <c r="F16" s="48">
        <v>2022</v>
      </c>
      <c r="G16" s="313" t="s">
        <v>331</v>
      </c>
      <c r="H16" s="313" t="s">
        <v>332</v>
      </c>
      <c r="I16" s="2"/>
      <c r="J16" s="2"/>
      <c r="K16" s="2"/>
    </row>
    <row r="17" spans="1:11">
      <c r="A17" s="49" t="s">
        <v>49</v>
      </c>
      <c r="B17" s="75">
        <v>52.102282966433656</v>
      </c>
      <c r="C17" s="75">
        <v>55.355154123487551</v>
      </c>
      <c r="D17" s="75">
        <v>59.271098520375929</v>
      </c>
      <c r="E17" s="75">
        <v>57.439642929600318</v>
      </c>
      <c r="F17" s="75">
        <v>57.469595568858701</v>
      </c>
      <c r="G17" s="324">
        <f>GETPIVOTDATA("ET",$A$15,"sost","Estatal","Año",2022)-GETPIVOTDATA("ET",$A$15,"sost","Estatal","Año",2021)</f>
        <v>2.9952639258382874E-2</v>
      </c>
      <c r="H17" s="324">
        <f>GETPIVOTDATA("ET",$A$15,"sost","Estatal","Año",2022)-GETPIVOTDATA("ET",$A$15,"sost","Estatal","Año",2018)</f>
        <v>5.367312602425045</v>
      </c>
      <c r="I17" s="2"/>
      <c r="J17" s="2"/>
      <c r="K17" s="2"/>
    </row>
    <row r="18" spans="1:11">
      <c r="A18" s="51" t="s">
        <v>1</v>
      </c>
      <c r="B18" s="75">
        <v>60.623229461756381</v>
      </c>
      <c r="C18" s="75">
        <v>67.9805942995755</v>
      </c>
      <c r="D18" s="75">
        <v>60.248447204968947</v>
      </c>
      <c r="E18" s="75">
        <v>61.397276494967436</v>
      </c>
      <c r="F18" s="75">
        <v>55.911330049261089</v>
      </c>
      <c r="G18" s="327">
        <f>GETPIVOTDATA("ET",$A$15,"sost","Estatal","entidad","Aguascalientes","Año",2022)-GETPIVOTDATA("ET",$A$15,"sost","Estatal","entidad","Aguascalientes","Año",2021)</f>
        <v>-5.4859464457063467</v>
      </c>
      <c r="H18" s="327">
        <f>GETPIVOTDATA("ET",$A$15,"sost","Estatal","entidad","Aguascalientes","Año",2022)-GETPIVOTDATA("ET",$A$15,"sost","Estatal","entidad","Aguascalientes","Año",2018)</f>
        <v>-4.711899412495292</v>
      </c>
      <c r="I18" s="2"/>
      <c r="J18" s="2"/>
      <c r="K18" s="2"/>
    </row>
    <row r="19" spans="1:11">
      <c r="A19" s="51" t="s">
        <v>3</v>
      </c>
      <c r="B19" s="75">
        <v>38.674335798411398</v>
      </c>
      <c r="C19" s="75">
        <v>47.263824884792626</v>
      </c>
      <c r="D19" s="75">
        <v>48.339264531435347</v>
      </c>
      <c r="E19" s="75">
        <v>48.452669902912618</v>
      </c>
      <c r="F19" s="75">
        <v>51.841196777905637</v>
      </c>
      <c r="G19" s="326">
        <f>GETPIVOTDATA("ET",$A$15,"sost","Estatal","entidad","Baja California","Año",2022)-GETPIVOTDATA("ET",$A$15,"sost","Estatal","entidad","Baja California","Año",2021)</f>
        <v>3.3885268749930191</v>
      </c>
      <c r="H19" s="326">
        <f>GETPIVOTDATA("ET",$A$15,"sost","Estatal","entidad","Baja California","Año",2022)-GETPIVOTDATA("ET",$A$15,"sost","Estatal","entidad","Baja California","Año",2018)</f>
        <v>13.166860979494238</v>
      </c>
      <c r="I19" s="2"/>
      <c r="J19" s="2"/>
      <c r="K19" s="2"/>
    </row>
    <row r="20" spans="1:11">
      <c r="A20" s="51" t="s">
        <v>4</v>
      </c>
      <c r="B20" s="75">
        <v>52.121212121212125</v>
      </c>
      <c r="C20" s="75">
        <v>55.723270440251568</v>
      </c>
      <c r="D20" s="75">
        <v>56.993006993006986</v>
      </c>
      <c r="E20" s="75">
        <v>54.197349042709867</v>
      </c>
      <c r="F20" s="75">
        <v>51.993355481727576</v>
      </c>
      <c r="G20" s="327">
        <f>GETPIVOTDATA("ET",$A$15,"sost","Estatal","entidad","Baja California Sur","Año",2022)-GETPIVOTDATA("ET",$A$15,"sost","Estatal","entidad","Baja California Sur","Año",2021)</f>
        <v>-2.2039935609822905</v>
      </c>
      <c r="H20" s="327">
        <f>GETPIVOTDATA("ET",$A$15,"sost","Estatal","entidad","Baja California Sur","Año",2022)-GETPIVOTDATA("ET",$A$15,"sost","Estatal","entidad","Baja California Sur","Año",2018)</f>
        <v>-0.1278566394845484</v>
      </c>
      <c r="I20" s="2"/>
      <c r="J20" s="2"/>
      <c r="K20" s="2"/>
    </row>
    <row r="21" spans="1:11">
      <c r="A21" s="51" t="s">
        <v>5</v>
      </c>
      <c r="B21" s="75">
        <v>46.082337317397077</v>
      </c>
      <c r="C21" s="75">
        <v>51.296829971181559</v>
      </c>
      <c r="D21" s="75">
        <v>54.407713498622591</v>
      </c>
      <c r="E21" s="75">
        <v>53.007518796992478</v>
      </c>
      <c r="F21" s="75">
        <v>48.812664907651715</v>
      </c>
      <c r="G21" s="326">
        <f>GETPIVOTDATA("ET",$A$15,"sost","Estatal","entidad","Campeche","Año",2022)-GETPIVOTDATA("ET",$A$15,"sost","Estatal","entidad","Campeche","Año",2021)</f>
        <v>-4.194853889340763</v>
      </c>
      <c r="H21" s="326">
        <f>GETPIVOTDATA("ET",$A$15,"sost","Estatal","entidad","Campeche","Año",2022)-GETPIVOTDATA("ET",$A$15,"sost","Estatal","entidad","Campeche","Año",2018)</f>
        <v>2.7303275902546389</v>
      </c>
      <c r="I21" s="2"/>
      <c r="J21" s="2"/>
      <c r="K21" s="2"/>
    </row>
    <row r="22" spans="1:11">
      <c r="A22" s="51" t="s">
        <v>6</v>
      </c>
      <c r="B22" s="75">
        <v>64.38356164383562</v>
      </c>
      <c r="C22" s="75">
        <v>61.097432289834686</v>
      </c>
      <c r="D22" s="75">
        <v>66.156716417910445</v>
      </c>
      <c r="E22" s="75">
        <v>63.588920112404658</v>
      </c>
      <c r="F22" s="75">
        <v>63.96210873146623</v>
      </c>
      <c r="G22" s="327">
        <f>GETPIVOTDATA("ET",$A$15,"sost","Estatal","entidad","Chiapas","Año",2022)-GETPIVOTDATA("ET",$A$15,"sost","Estatal","entidad","Chiapas","Año",2021)</f>
        <v>0.37318861906157252</v>
      </c>
      <c r="H22" s="327">
        <f>GETPIVOTDATA("ET",$A$15,"sost","Estatal","entidad","Chiapas","Año",2022)-GETPIVOTDATA("ET",$A$15,"sost","Estatal","entidad","Chiapas","Año",2018)</f>
        <v>-0.42145291236938931</v>
      </c>
      <c r="I22" s="2"/>
      <c r="J22" s="2"/>
      <c r="K22" s="2"/>
    </row>
    <row r="23" spans="1:11">
      <c r="A23" s="51" t="s">
        <v>7</v>
      </c>
      <c r="B23" s="75">
        <v>46.472727272727269</v>
      </c>
      <c r="C23" s="75">
        <v>48.813744205072268</v>
      </c>
      <c r="D23" s="75">
        <v>51.40360169491526</v>
      </c>
      <c r="E23" s="75">
        <v>48.610696145802216</v>
      </c>
      <c r="F23" s="75">
        <v>43.519999999999996</v>
      </c>
      <c r="G23" s="326">
        <f>GETPIVOTDATA("ET",$A$15,"sost","Estatal","entidad","Chihuahua","Año",2022)-GETPIVOTDATA("ET",$A$15,"sost","Estatal","entidad","Chihuahua","Año",2021)</f>
        <v>-5.0906961458022195</v>
      </c>
      <c r="H23" s="326">
        <f>GETPIVOTDATA("ET",$A$15,"sost","Estatal","entidad","Chihuahua","Año",2022)-GETPIVOTDATA("ET",$A$15,"sost","Estatal","entidad","Chihuahua","Año",2018)</f>
        <v>-2.9527272727272731</v>
      </c>
      <c r="I23" s="2"/>
      <c r="J23" s="2"/>
      <c r="K23" s="2"/>
    </row>
    <row r="24" spans="1:11">
      <c r="A24" s="51" t="s">
        <v>31</v>
      </c>
      <c r="B24" s="75">
        <v>60.679611650485434</v>
      </c>
      <c r="C24" s="75">
        <v>64.943151055766108</v>
      </c>
      <c r="D24" s="75">
        <v>74.425152510558419</v>
      </c>
      <c r="E24" s="75">
        <v>71.76381529144588</v>
      </c>
      <c r="F24" s="75">
        <v>73.161567364465924</v>
      </c>
      <c r="G24" s="327">
        <f>GETPIVOTDATA("ET",$A$15,"sost","Estatal","entidad","Coahuila de Zaragoza","Año",2022)-GETPIVOTDATA("ET",$A$15,"sost","Estatal","entidad","Coahuila de Zaragoza","Año",2021)</f>
        <v>1.3977520730200439</v>
      </c>
      <c r="H24" s="327">
        <f>GETPIVOTDATA("ET",$A$15,"sost","Estatal","entidad","Coahuila de Zaragoza","Año",2022)-GETPIVOTDATA("ET",$A$15,"sost","Estatal","entidad","Coahuila de Zaragoza","Año",2018)</f>
        <v>12.48195571398049</v>
      </c>
      <c r="I24" s="2"/>
      <c r="J24" s="2"/>
      <c r="K24" s="2"/>
    </row>
    <row r="25" spans="1:11">
      <c r="A25" s="51" t="s">
        <v>8</v>
      </c>
      <c r="B25" s="75">
        <v>38.844847112117783</v>
      </c>
      <c r="C25" s="75">
        <v>40.534262485481996</v>
      </c>
      <c r="D25" s="75">
        <v>49.786019971469329</v>
      </c>
      <c r="E25" s="75">
        <v>46.788990825688074</v>
      </c>
      <c r="F25" s="75">
        <v>42.949547218628723</v>
      </c>
      <c r="G25" s="326">
        <f>GETPIVOTDATA("ET",$A$15,"sost","Estatal","entidad","Colima","Año",2022)-GETPIVOTDATA("ET",$A$15,"sost","Estatal","entidad","Colima","Año",2021)</f>
        <v>-3.8394436070593514</v>
      </c>
      <c r="H25" s="326">
        <f>GETPIVOTDATA("ET",$A$15,"sost","Estatal","entidad","Colima","Año",2022)-GETPIVOTDATA("ET",$A$15,"sost","Estatal","entidad","Colima","Año",2018)</f>
        <v>4.1047001065109399</v>
      </c>
      <c r="I25" s="2"/>
      <c r="J25" s="2"/>
      <c r="K25" s="2"/>
    </row>
    <row r="26" spans="1:11">
      <c r="A26" s="51" t="s">
        <v>9</v>
      </c>
      <c r="B26" s="75">
        <v>38.461538461538467</v>
      </c>
      <c r="C26" s="75">
        <v>38.10082063305979</v>
      </c>
      <c r="D26" s="75">
        <v>42.887700534759361</v>
      </c>
      <c r="E26" s="75">
        <v>35.887096774193552</v>
      </c>
      <c r="F26" s="75">
        <v>33.938547486033521</v>
      </c>
      <c r="G26" s="327">
        <f>GETPIVOTDATA("ET",$A$15,"sost","Estatal","entidad","Durango","Año",2022)-GETPIVOTDATA("ET",$A$15,"sost","Estatal","entidad","Durango","Año",2021)</f>
        <v>-1.9485492881600308</v>
      </c>
      <c r="H26" s="327">
        <f>GETPIVOTDATA("ET",$A$15,"sost","Estatal","entidad","Durango","Año",2022)-GETPIVOTDATA("ET",$A$15,"sost","Estatal","entidad","Durango","Año",2018)</f>
        <v>-4.5229909755049462</v>
      </c>
      <c r="I26" s="2"/>
      <c r="J26" s="2"/>
      <c r="K26" s="2"/>
    </row>
    <row r="27" spans="1:11">
      <c r="A27" s="51" t="s">
        <v>10</v>
      </c>
      <c r="B27" s="75">
        <v>64.090626939788947</v>
      </c>
      <c r="C27" s="75">
        <v>64.441609977324262</v>
      </c>
      <c r="D27" s="75">
        <v>68.307243300610239</v>
      </c>
      <c r="E27" s="75">
        <v>61.24661246612466</v>
      </c>
      <c r="F27" s="75">
        <v>58.555022532344815</v>
      </c>
      <c r="G27" s="326">
        <f>GETPIVOTDATA("ET",$A$15,"sost","Estatal","entidad","Guanajuato","Año",2022)-GETPIVOTDATA("ET",$A$15,"sost","Estatal","entidad","Guanajuato","Año",2021)</f>
        <v>-2.691589933779845</v>
      </c>
      <c r="H27" s="326">
        <f>GETPIVOTDATA("ET",$A$15,"sost","Estatal","entidad","Guanajuato","Año",2022)-GETPIVOTDATA("ET",$A$15,"sost","Estatal","entidad","Guanajuato","Año",2018)</f>
        <v>-5.5356044074441328</v>
      </c>
      <c r="I27" s="2"/>
      <c r="J27" s="2"/>
      <c r="K27" s="2"/>
    </row>
    <row r="28" spans="1:11">
      <c r="A28" s="51" t="s">
        <v>11</v>
      </c>
      <c r="B28" s="75">
        <v>52.361005331302358</v>
      </c>
      <c r="C28" s="75">
        <v>57.45393634840871</v>
      </c>
      <c r="D28" s="75">
        <v>57.496902106567539</v>
      </c>
      <c r="E28" s="75">
        <v>53.18257956448911</v>
      </c>
      <c r="F28" s="75">
        <v>44.642118328506413</v>
      </c>
      <c r="G28" s="327">
        <f>GETPIVOTDATA("ET",$A$15,"sost","Estatal","entidad","Guerrero","Año",2022)-GETPIVOTDATA("ET",$A$15,"sost","Estatal","entidad","Guerrero","Año",2021)</f>
        <v>-8.540461235982697</v>
      </c>
      <c r="H28" s="327">
        <f>GETPIVOTDATA("ET",$A$15,"sost","Estatal","entidad","Guerrero","Año",2022)-GETPIVOTDATA("ET",$A$15,"sost","Estatal","entidad","Guerrero","Año",2018)</f>
        <v>-7.7188870027959453</v>
      </c>
      <c r="I28" s="2"/>
      <c r="J28" s="2"/>
      <c r="K28" s="2"/>
    </row>
    <row r="29" spans="1:11">
      <c r="A29" s="51" t="s">
        <v>12</v>
      </c>
      <c r="B29" s="75">
        <v>49.761620977353992</v>
      </c>
      <c r="C29" s="75">
        <v>50.901180857675577</v>
      </c>
      <c r="D29" s="75">
        <v>60.251046025104607</v>
      </c>
      <c r="E29" s="75">
        <v>61.083743842364534</v>
      </c>
      <c r="F29" s="75">
        <v>57.960526315789473</v>
      </c>
      <c r="G29" s="326">
        <f>GETPIVOTDATA("ET",$A$15,"sost","Estatal","entidad","Hidalgo","Año",2022)-GETPIVOTDATA("ET",$A$15,"sost","Estatal","entidad","Hidalgo","Año",2021)</f>
        <v>-3.1232175265750612</v>
      </c>
      <c r="H29" s="326">
        <f>GETPIVOTDATA("ET",$A$15,"sost","Estatal","entidad","Hidalgo","Año",2022)-GETPIVOTDATA("ET",$A$15,"sost","Estatal","entidad","Hidalgo","Año",2018)</f>
        <v>8.1989053384354804</v>
      </c>
      <c r="I29" s="2"/>
      <c r="J29" s="2"/>
      <c r="K29" s="2"/>
    </row>
    <row r="30" spans="1:11">
      <c r="A30" s="51" t="s">
        <v>13</v>
      </c>
      <c r="B30" s="75">
        <v>51.335461112044342</v>
      </c>
      <c r="C30" s="75">
        <v>52.470628887353143</v>
      </c>
      <c r="D30" s="75">
        <v>54.907563025210081</v>
      </c>
      <c r="E30" s="75">
        <v>49.864007252946507</v>
      </c>
      <c r="F30" s="75">
        <v>52.266315591498966</v>
      </c>
      <c r="G30" s="327">
        <f>GETPIVOTDATA("ET",$A$15,"sost","Estatal","entidad","Jalisco","Año",2022)-GETPIVOTDATA("ET",$A$15,"sost","Estatal","entidad","Jalisco","Año",2021)</f>
        <v>2.4023083385524586</v>
      </c>
      <c r="H30" s="327">
        <f>GETPIVOTDATA("ET",$A$15,"sost","Estatal","entidad","Jalisco","Año",2022)-GETPIVOTDATA("ET",$A$15,"sost","Estatal","entidad","Jalisco","Año",2018)</f>
        <v>0.93085447945462363</v>
      </c>
      <c r="I30" s="2"/>
      <c r="J30" s="2"/>
      <c r="K30" s="2"/>
    </row>
    <row r="31" spans="1:11">
      <c r="A31" s="51" t="s">
        <v>14</v>
      </c>
      <c r="B31" s="75">
        <v>45.827069492265167</v>
      </c>
      <c r="C31" s="75">
        <v>50.288413724515166</v>
      </c>
      <c r="D31" s="75">
        <v>52.903123177262842</v>
      </c>
      <c r="E31" s="75">
        <v>53.831518866927382</v>
      </c>
      <c r="F31" s="75">
        <v>58.727474501928867</v>
      </c>
      <c r="G31" s="326">
        <f>GETPIVOTDATA("ET",$A$15,"sost","Estatal","entidad","México","Año",2022)-GETPIVOTDATA("ET",$A$15,"sost","Estatal","entidad","México","Año",2021)</f>
        <v>4.895955635001485</v>
      </c>
      <c r="H31" s="326">
        <f>GETPIVOTDATA("ET",$A$15,"sost","Estatal","entidad","México","Año",2022)-GETPIVOTDATA("ET",$A$15,"sost","Estatal","entidad","México","Año",2018)</f>
        <v>12.9004050096637</v>
      </c>
      <c r="I31" s="2"/>
      <c r="J31" s="2"/>
      <c r="K31" s="2"/>
    </row>
    <row r="32" spans="1:11">
      <c r="A32" s="51" t="s">
        <v>30</v>
      </c>
      <c r="B32" s="75">
        <v>52.764505119453922</v>
      </c>
      <c r="C32" s="75">
        <v>53.497942386831276</v>
      </c>
      <c r="D32" s="75">
        <v>56.767986004810844</v>
      </c>
      <c r="E32" s="75">
        <v>53.130712979890319</v>
      </c>
      <c r="F32" s="75">
        <v>54.82416591523895</v>
      </c>
      <c r="G32" s="327">
        <f>GETPIVOTDATA("ET",$A$15,"sost","Estatal","entidad","Michoacán de Ocampo","Año",2022)-GETPIVOTDATA("ET",$A$15,"sost","Estatal","entidad","Michoacán de Ocampo","Año",2021)</f>
        <v>1.6934529353486312</v>
      </c>
      <c r="H32" s="327">
        <f>GETPIVOTDATA("ET",$A$15,"sost","Estatal","entidad","Michoacán de Ocampo","Año",2022)-GETPIVOTDATA("ET",$A$15,"sost","Estatal","entidad","Michoacán de Ocampo","Año",2018)</f>
        <v>2.0596607957850281</v>
      </c>
      <c r="I32" s="2"/>
      <c r="J32" s="2"/>
      <c r="K32" s="2"/>
    </row>
    <row r="33" spans="1:11">
      <c r="A33" s="51" t="s">
        <v>15</v>
      </c>
      <c r="B33" s="75">
        <v>53.706583722135825</v>
      </c>
      <c r="C33" s="75">
        <v>54.060787244643748</v>
      </c>
      <c r="D33" s="75">
        <v>50.385208012326657</v>
      </c>
      <c r="E33" s="75">
        <v>46.262188515709639</v>
      </c>
      <c r="F33" s="75">
        <v>42.72823779193206</v>
      </c>
      <c r="G33" s="326">
        <f>GETPIVOTDATA("ET",$A$15,"sost","Estatal","entidad","Morelos","Año",2022)-GETPIVOTDATA("ET",$A$15,"sost","Estatal","entidad","Morelos","Año",2021)</f>
        <v>-3.5339507237775791</v>
      </c>
      <c r="H33" s="326">
        <f>GETPIVOTDATA("ET",$A$15,"sost","Estatal","entidad","Morelos","Año",2022)-GETPIVOTDATA("ET",$A$15,"sost","Estatal","entidad","Morelos","Año",2018)</f>
        <v>-10.978345930203766</v>
      </c>
      <c r="I33" s="2"/>
      <c r="J33" s="2"/>
      <c r="K33" s="2"/>
    </row>
    <row r="34" spans="1:11">
      <c r="A34" s="51" t="s">
        <v>16</v>
      </c>
      <c r="B34" s="75">
        <v>49.841772151898731</v>
      </c>
      <c r="C34" s="75">
        <v>48.471926083866386</v>
      </c>
      <c r="D34" s="75">
        <v>50.399290150842944</v>
      </c>
      <c r="E34" s="75">
        <v>38.8689407540395</v>
      </c>
      <c r="F34" s="75">
        <v>40.502586844050256</v>
      </c>
      <c r="G34" s="327">
        <f>GETPIVOTDATA("ET",$A$15,"sost","Estatal","entidad","Nayarit","Año",2022)-GETPIVOTDATA("ET",$A$15,"sost","Estatal","entidad","Nayarit","Año",2021)</f>
        <v>1.6336460900107568</v>
      </c>
      <c r="H34" s="327">
        <f>GETPIVOTDATA("ET",$A$15,"sost","Estatal","entidad","Nayarit","Año",2022)-GETPIVOTDATA("ET",$A$15,"sost","Estatal","entidad","Nayarit","Año",2018)</f>
        <v>-9.3391853078484743</v>
      </c>
      <c r="I34" s="2"/>
      <c r="J34" s="2"/>
      <c r="K34" s="2"/>
    </row>
    <row r="35" spans="1:11">
      <c r="A35" s="51" t="s">
        <v>17</v>
      </c>
      <c r="B35" s="75">
        <v>53.240909643682357</v>
      </c>
      <c r="C35" s="75">
        <v>55.879762166923584</v>
      </c>
      <c r="D35" s="75">
        <v>66.109115401885944</v>
      </c>
      <c r="E35" s="75">
        <v>72.716836734693885</v>
      </c>
      <c r="F35" s="75">
        <v>56.827445652173914</v>
      </c>
      <c r="G35" s="326">
        <f>GETPIVOTDATA("ET",$A$15,"sost","Estatal","entidad","Nuevo León","Año",2022)-GETPIVOTDATA("ET",$A$15,"sost","Estatal","entidad","Nuevo León","Año",2021)</f>
        <v>-15.889391082519971</v>
      </c>
      <c r="H35" s="326">
        <f>GETPIVOTDATA("ET",$A$15,"sost","Estatal","entidad","Nuevo León","Año",2022)-GETPIVOTDATA("ET",$A$15,"sost","Estatal","entidad","Nuevo León","Año",2018)</f>
        <v>3.5865360084915565</v>
      </c>
      <c r="I35" s="2"/>
      <c r="J35" s="2"/>
      <c r="K35" s="2"/>
    </row>
    <row r="36" spans="1:11">
      <c r="A36" s="51" t="s">
        <v>18</v>
      </c>
      <c r="B36" s="75">
        <v>62.686038270729981</v>
      </c>
      <c r="C36" s="75">
        <v>61.833688699360344</v>
      </c>
      <c r="D36" s="75">
        <v>66.78093932122043</v>
      </c>
      <c r="E36" s="75">
        <v>67.126269956458643</v>
      </c>
      <c r="F36" s="75">
        <v>67.969037965352015</v>
      </c>
      <c r="G36" s="327">
        <f>GETPIVOTDATA("ET",$A$15,"sost","Estatal","entidad","Puebla","Año",2022)-GETPIVOTDATA("ET",$A$15,"sost","Estatal","entidad","Puebla","Año",2021)</f>
        <v>0.84276800889337267</v>
      </c>
      <c r="H36" s="327">
        <f>GETPIVOTDATA("ET",$A$15,"sost","Estatal","entidad","Puebla","Año",2022)-GETPIVOTDATA("ET",$A$15,"sost","Estatal","entidad","Puebla","Año",2018)</f>
        <v>5.2829996946220348</v>
      </c>
      <c r="I36" s="2"/>
      <c r="J36" s="2"/>
      <c r="K36" s="2"/>
    </row>
    <row r="37" spans="1:11">
      <c r="A37" s="51" t="s">
        <v>29</v>
      </c>
      <c r="B37" s="75">
        <v>54.221251819505092</v>
      </c>
      <c r="C37" s="75">
        <v>62.840323767476079</v>
      </c>
      <c r="D37" s="75">
        <v>60.355434039644564</v>
      </c>
      <c r="E37" s="75">
        <v>51.376811594202898</v>
      </c>
      <c r="F37" s="75">
        <v>51.24732715609408</v>
      </c>
      <c r="G37" s="326">
        <f>GETPIVOTDATA("ET",$A$15,"sost","Estatal","entidad","Querétaro de Arteaga","Año",2022)-GETPIVOTDATA("ET",$A$15,"sost","Estatal","entidad","Querétaro de Arteaga","Año",2021)</f>
        <v>-0.12948443810881827</v>
      </c>
      <c r="H37" s="326">
        <f>GETPIVOTDATA("ET",$A$15,"sost","Estatal","entidad","Querétaro de Arteaga","Año",2022)-GETPIVOTDATA("ET",$A$15,"sost","Estatal","entidad","Querétaro de Arteaga","Año",2018)</f>
        <v>-2.9739246634110117</v>
      </c>
      <c r="I37" s="2"/>
      <c r="J37" s="2"/>
      <c r="K37" s="2"/>
    </row>
    <row r="38" spans="1:11">
      <c r="A38" s="51" t="s">
        <v>19</v>
      </c>
      <c r="B38" s="75">
        <v>54.35179549604382</v>
      </c>
      <c r="C38" s="75">
        <v>62.959745149145675</v>
      </c>
      <c r="D38" s="75">
        <v>64.562536699941276</v>
      </c>
      <c r="E38" s="75">
        <v>65.371137304874168</v>
      </c>
      <c r="F38" s="75">
        <v>70.702492716089353</v>
      </c>
      <c r="G38" s="327">
        <f>GETPIVOTDATA("ET",$A$15,"sost","Estatal","entidad","Quintana Roo","Año",2022)-GETPIVOTDATA("ET",$A$15,"sost","Estatal","entidad","Quintana Roo","Año",2021)</f>
        <v>5.3313554112151849</v>
      </c>
      <c r="H38" s="327">
        <f>GETPIVOTDATA("ET",$A$15,"sost","Estatal","entidad","Quintana Roo","Año",2022)-GETPIVOTDATA("ET",$A$15,"sost","Estatal","entidad","Quintana Roo","Año",2018)</f>
        <v>16.350697220045532</v>
      </c>
      <c r="I38" s="2"/>
      <c r="J38" s="2"/>
      <c r="K38" s="2"/>
    </row>
    <row r="39" spans="1:11">
      <c r="A39" s="51" t="s">
        <v>20</v>
      </c>
      <c r="B39" s="75">
        <v>51.505757307351644</v>
      </c>
      <c r="C39" s="75">
        <v>52.094474153297689</v>
      </c>
      <c r="D39" s="75">
        <v>63.867355727820843</v>
      </c>
      <c r="E39" s="75">
        <v>56.943005181347154</v>
      </c>
      <c r="F39" s="75">
        <v>59.145388223032825</v>
      </c>
      <c r="G39" s="326">
        <f>GETPIVOTDATA("ET",$A$15,"sost","Estatal","entidad","San Luis Potosí","Año",2022)-GETPIVOTDATA("ET",$A$15,"sost","Estatal","entidad","San Luis Potosí","Año",2021)</f>
        <v>2.2023830416856711</v>
      </c>
      <c r="H39" s="326">
        <f>GETPIVOTDATA("ET",$A$15,"sost","Estatal","entidad","San Luis Potosí","Año",2022)-GETPIVOTDATA("ET",$A$15,"sost","Estatal","entidad","San Luis Potosí","Año",2018)</f>
        <v>7.639630915681181</v>
      </c>
      <c r="I39" s="2"/>
      <c r="J39" s="2"/>
      <c r="K39" s="2"/>
    </row>
    <row r="40" spans="1:11">
      <c r="A40" s="51" t="s">
        <v>21</v>
      </c>
      <c r="B40" s="75">
        <v>59.049909801563437</v>
      </c>
      <c r="C40" s="75">
        <v>55.789122455789119</v>
      </c>
      <c r="D40" s="75">
        <v>63.392171910974668</v>
      </c>
      <c r="E40" s="75">
        <v>58.138155944263268</v>
      </c>
      <c r="F40" s="75">
        <v>64.068441064638776</v>
      </c>
      <c r="G40" s="327">
        <f>GETPIVOTDATA("ET",$A$15,"sost","Estatal","entidad","Sinaloa","Año",2022)-GETPIVOTDATA("ET",$A$15,"sost","Estatal","entidad","Sinaloa","Año",2021)</f>
        <v>5.9302851203755083</v>
      </c>
      <c r="H40" s="327">
        <f>GETPIVOTDATA("ET",$A$15,"sost","Estatal","entidad","Sinaloa","Año",2022)-GETPIVOTDATA("ET",$A$15,"sost","Estatal","entidad","Sinaloa","Año",2018)</f>
        <v>5.0185312630753387</v>
      </c>
      <c r="I40" s="2"/>
      <c r="J40" s="2"/>
      <c r="K40" s="2"/>
    </row>
    <row r="41" spans="1:11">
      <c r="A41" s="51" t="s">
        <v>22</v>
      </c>
      <c r="B41" s="75">
        <v>42.039038554605582</v>
      </c>
      <c r="C41" s="75">
        <v>49.937282229965156</v>
      </c>
      <c r="D41" s="75">
        <v>50.145631067961162</v>
      </c>
      <c r="E41" s="75">
        <v>48.973063973063972</v>
      </c>
      <c r="F41" s="75">
        <v>51.794122422471176</v>
      </c>
      <c r="G41" s="326">
        <f>GETPIVOTDATA("ET",$A$15,"sost","Estatal","entidad","Sonora","Año",2022)-GETPIVOTDATA("ET",$A$15,"sost","Estatal","entidad","Sonora","Año",2021)</f>
        <v>2.8210584494072037</v>
      </c>
      <c r="H41" s="326">
        <f>GETPIVOTDATA("ET",$A$15,"sost","Estatal","entidad","Sonora","Año",2022)-GETPIVOTDATA("ET",$A$15,"sost","Estatal","entidad","Sonora","Año",2018)</f>
        <v>9.7550838678655936</v>
      </c>
      <c r="I41" s="2"/>
      <c r="J41" s="2"/>
      <c r="K41" s="2"/>
    </row>
    <row r="42" spans="1:11">
      <c r="A42" s="51" t="s">
        <v>23</v>
      </c>
      <c r="B42" s="75">
        <v>61.315789473684212</v>
      </c>
      <c r="C42" s="75">
        <v>67.140825035561875</v>
      </c>
      <c r="D42" s="75">
        <v>67.407071622846786</v>
      </c>
      <c r="E42" s="75">
        <v>65.76139670223084</v>
      </c>
      <c r="F42" s="75">
        <v>68.670737435415688</v>
      </c>
      <c r="G42" s="327">
        <f>GETPIVOTDATA("ET",$A$15,"sost","Estatal","entidad","Tabasco","Año",2022)-GETPIVOTDATA("ET",$A$15,"sost","Estatal","entidad","Tabasco","Año",2021)</f>
        <v>2.9093407331848482</v>
      </c>
      <c r="H42" s="327">
        <f>GETPIVOTDATA("ET",$A$15,"sost","Estatal","entidad","Tabasco","Año",2022)-GETPIVOTDATA("ET",$A$15,"sost","Estatal","entidad","Tabasco","Año",2018)</f>
        <v>7.3549479617314759</v>
      </c>
      <c r="I42" s="2"/>
      <c r="J42" s="2"/>
      <c r="K42" s="2"/>
    </row>
    <row r="43" spans="1:11">
      <c r="A43" s="51" t="s">
        <v>24</v>
      </c>
      <c r="B43" s="75">
        <v>52.772249075916974</v>
      </c>
      <c r="C43" s="75">
        <v>57.538377192982459</v>
      </c>
      <c r="D43" s="75">
        <v>58.119658119658126</v>
      </c>
      <c r="E43" s="75">
        <v>55.922086082312283</v>
      </c>
      <c r="F43" s="75">
        <v>58.760195758564436</v>
      </c>
      <c r="G43" s="326">
        <f>GETPIVOTDATA("ET",$A$15,"sost","Estatal","entidad","Tamaulipas","Año",2022)-GETPIVOTDATA("ET",$A$15,"sost","Estatal","entidad","Tamaulipas","Año",2021)</f>
        <v>2.8381096762521523</v>
      </c>
      <c r="H43" s="326">
        <f>GETPIVOTDATA("ET",$A$15,"sost","Estatal","entidad","Tamaulipas","Año",2022)-GETPIVOTDATA("ET",$A$15,"sost","Estatal","entidad","Tamaulipas","Año",2018)</f>
        <v>5.9879466826474612</v>
      </c>
      <c r="I43" s="2"/>
      <c r="J43" s="2"/>
      <c r="K43" s="2"/>
    </row>
    <row r="44" spans="1:11">
      <c r="A44" s="51" t="s">
        <v>25</v>
      </c>
      <c r="B44" s="75">
        <v>51.968503937007867</v>
      </c>
      <c r="C44" s="75">
        <v>54.388597149287321</v>
      </c>
      <c r="D44" s="75">
        <v>64.772727272727266</v>
      </c>
      <c r="E44" s="75">
        <v>65.384615384615387</v>
      </c>
      <c r="F44" s="75">
        <v>67.549103330486759</v>
      </c>
      <c r="G44" s="327">
        <f>GETPIVOTDATA("ET",$A$15,"sost","Estatal","entidad","Tlaxcala","Año",2022)-GETPIVOTDATA("ET",$A$15,"sost","Estatal","entidad","Tlaxcala","Año",2021)</f>
        <v>2.1644879458713717</v>
      </c>
      <c r="H44" s="327">
        <f>GETPIVOTDATA("ET",$A$15,"sost","Estatal","entidad","Tlaxcala","Año",2022)-GETPIVOTDATA("ET",$A$15,"sost","Estatal","entidad","Tlaxcala","Año",2018)</f>
        <v>15.580599393478892</v>
      </c>
      <c r="I44" s="2"/>
      <c r="J44" s="2"/>
      <c r="K44" s="2"/>
    </row>
    <row r="45" spans="1:11">
      <c r="A45" s="51" t="s">
        <v>53</v>
      </c>
      <c r="B45" s="75">
        <v>66.167023554603858</v>
      </c>
      <c r="C45" s="75">
        <v>69.721577726218101</v>
      </c>
      <c r="D45" s="75">
        <v>72.724438902743145</v>
      </c>
      <c r="E45" s="75">
        <v>74.16895394937481</v>
      </c>
      <c r="F45" s="75">
        <v>76.143353837924579</v>
      </c>
      <c r="G45" s="326">
        <f>GETPIVOTDATA("ET",$A$15,"sost","Estatal","entidad","Veracruz llave","Año",2022)-GETPIVOTDATA("ET",$A$15,"sost","Estatal","entidad","Veracruz llave","Año",2021)</f>
        <v>1.9743998885497689</v>
      </c>
      <c r="H45" s="326">
        <f>GETPIVOTDATA("ET",$A$15,"sost","Estatal","entidad","Veracruz llave","Año",2022)-GETPIVOTDATA("ET",$A$15,"sost","Estatal","entidad","Veracruz llave","Año",2018)</f>
        <v>9.9763302833207206</v>
      </c>
      <c r="I45" s="2"/>
      <c r="J45" s="2"/>
      <c r="K45" s="2"/>
    </row>
    <row r="46" spans="1:11">
      <c r="A46" s="51" t="s">
        <v>26</v>
      </c>
      <c r="B46" s="75">
        <v>53.842132775744901</v>
      </c>
      <c r="C46" s="75">
        <v>56.500488758553281</v>
      </c>
      <c r="D46" s="75">
        <v>60.136452241715396</v>
      </c>
      <c r="E46" s="75">
        <v>48.511749347258487</v>
      </c>
      <c r="F46" s="75">
        <v>52.808425275827489</v>
      </c>
      <c r="G46" s="327">
        <f>GETPIVOTDATA("ET",$A$15,"sost","Estatal","entidad","Yucatán","Año",2022)-GETPIVOTDATA("ET",$A$15,"sost","Estatal","entidad","Yucatán","Año",2021)</f>
        <v>4.2966759285690017</v>
      </c>
      <c r="H46" s="327">
        <f>GETPIVOTDATA("ET",$A$15,"sost","Estatal","entidad","Yucatán","Año",2022)-GETPIVOTDATA("ET",$A$15,"sost","Estatal","entidad","Yucatán","Año",2018)</f>
        <v>-1.0337074999174121</v>
      </c>
      <c r="I46" s="2"/>
      <c r="J46" s="2"/>
      <c r="K46" s="2"/>
    </row>
    <row r="47" spans="1:11">
      <c r="A47" s="51" t="s">
        <v>27</v>
      </c>
      <c r="B47" s="75">
        <v>33.632862644415916</v>
      </c>
      <c r="C47" s="75">
        <v>40.489130434782609</v>
      </c>
      <c r="D47" s="75">
        <v>42.962962962962962</v>
      </c>
      <c r="E47" s="75">
        <v>36.025848142164776</v>
      </c>
      <c r="F47" s="75">
        <v>29.672131147540981</v>
      </c>
      <c r="G47" s="326">
        <f>GETPIVOTDATA("ET",$A$15,"sost","Estatal","entidad","Zacatecas","Año",2022)-GETPIVOTDATA("ET",$A$15,"sost","Estatal","entidad","Zacatecas","Año",2021)</f>
        <v>-6.3537169946237952</v>
      </c>
      <c r="H47" s="326">
        <f>GETPIVOTDATA("ET",$A$15,"sost","Estatal","entidad","Zacatecas","Año",2022)-GETPIVOTDATA("ET",$A$15,"sost","Estatal","entidad","Zacatecas","Año",2018)</f>
        <v>-3.960731496874935</v>
      </c>
      <c r="I47" s="2"/>
      <c r="J47" s="2"/>
      <c r="K47" s="2"/>
    </row>
    <row r="48" spans="1:11">
      <c r="A48" s="49" t="s">
        <v>50</v>
      </c>
      <c r="B48" s="80">
        <v>41.198402130492681</v>
      </c>
      <c r="C48" s="80">
        <v>42.346424974823762</v>
      </c>
      <c r="D48" s="80">
        <v>44.25691737187411</v>
      </c>
      <c r="E48" s="80">
        <v>47.511093961026432</v>
      </c>
      <c r="F48" s="80">
        <v>52.209447291868685</v>
      </c>
      <c r="G48" s="328">
        <f>GETPIVOTDATA("ET",$A$15,"sost","Federal","Año",2022)-GETPIVOTDATA("ET",$A$15,"sost","Federal","Año",2021)</f>
        <v>4.6983533308422523</v>
      </c>
      <c r="H48" s="328">
        <f>GETPIVOTDATA("ET",$A$15,"sost","Federal","Año",2022)-GETPIVOTDATA("ET",$A$15,"sost","Federal","Año",2018)</f>
        <v>11.011045161376003</v>
      </c>
      <c r="I48" s="2"/>
      <c r="J48" s="2"/>
      <c r="K48" s="2"/>
    </row>
    <row r="49" spans="1:11">
      <c r="A49" s="51" t="s">
        <v>32</v>
      </c>
      <c r="B49" s="75">
        <v>39.620278529205486</v>
      </c>
      <c r="C49" s="75">
        <v>40.633886562225321</v>
      </c>
      <c r="D49" s="75">
        <v>43.194444444444443</v>
      </c>
      <c r="E49" s="75">
        <v>47.785220397579948</v>
      </c>
      <c r="F49" s="75">
        <v>53.990412474319129</v>
      </c>
      <c r="G49" s="326">
        <f>GETPIVOTDATA("ET",$A$15,"sost","Federal","entidad","Ciudad de México","Año",2022)-GETPIVOTDATA("ET",$A$15,"sost","Federal","entidad","Ciudad de México","Año",2021)</f>
        <v>6.2051920767391806</v>
      </c>
      <c r="H49" s="326">
        <f>GETPIVOTDATA("ET",$A$15,"sost","Federal","entidad","Ciudad de México","Año",2022)-GETPIVOTDATA("ET",$A$15,"sost","Federal","entidad","Ciudad de México","Año",2018)</f>
        <v>14.370133945113643</v>
      </c>
      <c r="I49" s="2"/>
      <c r="J49" s="2"/>
      <c r="K49" s="2"/>
    </row>
    <row r="50" spans="1:11">
      <c r="A50" s="51" t="s">
        <v>28</v>
      </c>
      <c r="B50" s="75">
        <v>53.465732087227416</v>
      </c>
      <c r="C50" s="75">
        <v>55.568862275449106</v>
      </c>
      <c r="D50" s="75">
        <v>52.852203975799483</v>
      </c>
      <c r="E50" s="75">
        <v>45.225225225225223</v>
      </c>
      <c r="F50" s="75">
        <v>39.566192969334331</v>
      </c>
      <c r="G50" s="327">
        <f>GETPIVOTDATA("ET",$A$15,"sost","Federal","entidad","Oaxaca","Año",2022)-GETPIVOTDATA("ET",$A$15,"sost","Federal","entidad","Oaxaca","Año",2021)</f>
        <v>-5.6590322558908923</v>
      </c>
      <c r="H50" s="327">
        <f>GETPIVOTDATA("ET",$A$15,"sost","Federal","entidad","Oaxaca","Año",2022)-GETPIVOTDATA("ET",$A$15,"sost","Federal","entidad","Oaxaca","Año",2018)</f>
        <v>-13.899539117893084</v>
      </c>
      <c r="I50" s="2"/>
      <c r="J50" s="2"/>
      <c r="K50" s="2"/>
    </row>
    <row r="51" spans="1:11" hidden="1">
      <c r="A51" s="51" t="s">
        <v>39</v>
      </c>
      <c r="B51" s="75">
        <v>0</v>
      </c>
      <c r="C51" s="75">
        <v>0</v>
      </c>
      <c r="D51" s="75">
        <v>0</v>
      </c>
      <c r="E51" s="75">
        <v>0</v>
      </c>
      <c r="F51" s="75">
        <v>0</v>
      </c>
      <c r="G51" s="326">
        <f>GETPIVOTDATA("ET",$A$15,"sost","Federal","entidad","Oficinas Nacionales","Año",2022)-GETPIVOTDATA("ET",$A$15,"sost","Federal","entidad","Oficinas Nacionales","Año",2021)</f>
        <v>0</v>
      </c>
      <c r="H51" s="326">
        <f>GETPIVOTDATA("ET",$A$15,"sost","Federal","entidad","Oficinas Nacionales","Año",2022)-GETPIVOTDATA("ET",$A$15,"sost","Federal","entidad","Oficinas Nacionales","Año",2018)</f>
        <v>0</v>
      </c>
    </row>
    <row r="52" spans="1:11" hidden="1">
      <c r="A52" s="49" t="s">
        <v>124</v>
      </c>
      <c r="B52" s="75">
        <v>0</v>
      </c>
      <c r="C52" s="75">
        <v>0</v>
      </c>
      <c r="D52" s="75">
        <v>0</v>
      </c>
      <c r="E52" s="75">
        <v>0</v>
      </c>
      <c r="F52" s="75">
        <v>0</v>
      </c>
      <c r="G52" s="328">
        <f>GETPIVOTDATA("ET",$A$15,"sost","Otro","Año",2022)-GETPIVOTDATA("ET",$A$15,"sost","Otro","Año",2021)</f>
        <v>0</v>
      </c>
      <c r="H52" s="328">
        <f>GETPIVOTDATA("ET",$A$15,"sost","Otro","Año",2022)-GETPIVOTDATA("ET",$A$15,"sost","Otro","Año",2018)</f>
        <v>0</v>
      </c>
    </row>
    <row r="53" spans="1:11" hidden="1">
      <c r="A53" s="51" t="s">
        <v>40</v>
      </c>
      <c r="B53" s="75">
        <v>0</v>
      </c>
      <c r="C53" s="75">
        <v>0</v>
      </c>
      <c r="D53" s="75">
        <v>0</v>
      </c>
      <c r="E53" s="75">
        <v>0</v>
      </c>
      <c r="F53" s="75">
        <v>0</v>
      </c>
      <c r="G53" s="326">
        <f>GETPIVOTDATA("ET",$A$15,"sost","Otro","entidad","Otros","Año",2022)-GETPIVOTDATA("ET",$A$15,"sost","Otro","entidad","Otros","Año",2021)</f>
        <v>0</v>
      </c>
      <c r="H53" s="326">
        <f>GETPIVOTDATA("ET",$A$15,"sost","Otro","entidad","Otros","Año",2022)-GETPIVOTDATA("ET",$A$15,"sost","Otro","entidad","Otros","Año",2018)</f>
        <v>0</v>
      </c>
    </row>
    <row r="54" spans="1:11" hidden="1">
      <c r="A54" s="49" t="s">
        <v>37</v>
      </c>
      <c r="B54" s="75">
        <v>50.182474621570293</v>
      </c>
      <c r="C54" s="75">
        <v>53.131455399061032</v>
      </c>
      <c r="D54" s="75">
        <v>56.755098789037604</v>
      </c>
      <c r="E54" s="75">
        <v>55.71442939519914</v>
      </c>
      <c r="F54" s="75">
        <v>56.537498568132349</v>
      </c>
      <c r="G54" s="331">
        <f>GETPIVOTDATA("ET",$A$15,"Año",2022)-GETPIVOTDATA("ET",$A$15,"Año",2021)</f>
        <v>0.82306917293320936</v>
      </c>
      <c r="H54" s="331">
        <f>GETPIVOTDATA("ET",$A$15,"Año",2022)-GETPIVOTDATA("ET",$A$15,"Año",2018)</f>
        <v>6.3550239465620564</v>
      </c>
    </row>
    <row r="55" spans="1:11" ht="15">
      <c r="A55"/>
      <c r="B55"/>
      <c r="C55"/>
      <c r="D55"/>
      <c r="E55"/>
      <c r="F55"/>
    </row>
    <row r="56" spans="1:11" ht="16.5" customHeight="1">
      <c r="A56" s="84" t="s">
        <v>43</v>
      </c>
      <c r="B56" s="85"/>
      <c r="C56" s="85"/>
      <c r="D56" s="85"/>
      <c r="E56" s="85"/>
      <c r="F56" s="85"/>
    </row>
    <row r="57" spans="1:11">
      <c r="A57" s="272"/>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60"/>
  <sheetViews>
    <sheetView showGridLines="0" topLeftCell="A4" zoomScale="120" zoomScaleNormal="120" workbookViewId="0">
      <selection activeCell="D46" sqref="D46"/>
    </sheetView>
  </sheetViews>
  <sheetFormatPr baseColWidth="10" defaultColWidth="11.42578125" defaultRowHeight="13.5"/>
  <cols>
    <col min="1" max="1" width="23.42578125" style="48" customWidth="1"/>
    <col min="2" max="6" width="13.7109375" style="48" customWidth="1"/>
    <col min="7" max="7" width="16.5703125" style="48" bestFit="1" customWidth="1"/>
    <col min="8" max="16384" width="11.42578125" style="48"/>
  </cols>
  <sheetData>
    <row r="1" spans="1:6" s="3" customFormat="1" ht="15" customHeight="1">
      <c r="B1" s="1"/>
      <c r="C1" s="1"/>
      <c r="F1" s="64" t="s">
        <v>48</v>
      </c>
    </row>
    <row r="2" spans="1:6" s="3" customFormat="1" ht="15" customHeight="1">
      <c r="B2" s="1"/>
      <c r="C2" s="1"/>
      <c r="F2" s="6" t="s">
        <v>42</v>
      </c>
    </row>
    <row r="3" spans="1:6" s="3" customFormat="1" ht="10.9" customHeight="1">
      <c r="B3" s="1"/>
      <c r="C3" s="1"/>
      <c r="D3" s="1"/>
      <c r="E3" s="1"/>
    </row>
    <row r="4" spans="1:6" s="3" customFormat="1" ht="2.4500000000000002" customHeight="1">
      <c r="B4" s="1"/>
      <c r="C4" s="1"/>
      <c r="D4" s="1"/>
      <c r="E4" s="1"/>
    </row>
    <row r="5" spans="1:6" s="3" customFormat="1" ht="15" customHeight="1">
      <c r="A5" s="367" t="s">
        <v>173</v>
      </c>
      <c r="B5" s="367"/>
      <c r="C5" s="367"/>
      <c r="D5" s="367"/>
      <c r="E5" s="367"/>
      <c r="F5" s="367"/>
    </row>
    <row r="6" spans="1:6" s="3" customFormat="1" ht="6.6" customHeight="1">
      <c r="A6" s="122"/>
      <c r="B6" s="63"/>
      <c r="C6" s="65"/>
      <c r="D6" s="65"/>
      <c r="E6" s="66"/>
    </row>
    <row r="7" spans="1:6" s="68" customFormat="1" ht="15.6" customHeight="1">
      <c r="A7" s="76" t="s">
        <v>45</v>
      </c>
      <c r="B7" s="76" t="s">
        <v>0</v>
      </c>
      <c r="C7" s="67"/>
      <c r="D7" s="67"/>
      <c r="E7" s="63"/>
    </row>
    <row r="8" spans="1:6" s="68" customFormat="1" ht="15" hidden="1" customHeight="1">
      <c r="A8" s="77">
        <v>2012</v>
      </c>
      <c r="B8" s="106"/>
      <c r="C8" s="69"/>
      <c r="D8" s="67"/>
      <c r="E8" s="63"/>
    </row>
    <row r="9" spans="1:6" s="68" customFormat="1" ht="15" hidden="1" customHeight="1">
      <c r="A9" s="77">
        <v>2013</v>
      </c>
      <c r="B9" s="106"/>
      <c r="C9" s="67"/>
      <c r="D9" s="67"/>
      <c r="E9" s="63"/>
    </row>
    <row r="10" spans="1:6" s="68" customFormat="1" ht="15" hidden="1" customHeight="1">
      <c r="A10" s="77">
        <v>2014</v>
      </c>
      <c r="B10" s="106"/>
      <c r="C10" s="67"/>
      <c r="D10" s="67"/>
      <c r="E10" s="63"/>
    </row>
    <row r="11" spans="1:6" s="68" customFormat="1" ht="15" hidden="1" customHeight="1">
      <c r="A11" s="77">
        <v>2015</v>
      </c>
      <c r="B11" s="96">
        <f>$E$58</f>
        <v>0</v>
      </c>
      <c r="C11" s="67"/>
      <c r="D11" s="67"/>
      <c r="E11" s="63"/>
    </row>
    <row r="12" spans="1:6" s="68" customFormat="1" ht="15.75" customHeight="1">
      <c r="A12" s="77">
        <v>2016</v>
      </c>
      <c r="B12" s="96">
        <f>$B$58</f>
        <v>0</v>
      </c>
      <c r="C12" s="67"/>
      <c r="D12" s="67"/>
      <c r="E12" s="63"/>
    </row>
    <row r="13" spans="1:6" s="68" customFormat="1" ht="15.75" customHeight="1">
      <c r="A13" s="77">
        <v>2017</v>
      </c>
      <c r="B13" s="96">
        <f>$C$58</f>
        <v>0</v>
      </c>
      <c r="C13" s="67"/>
      <c r="D13" s="67"/>
      <c r="E13" s="63"/>
    </row>
    <row r="14" spans="1:6" s="68" customFormat="1" ht="15.75" customHeight="1">
      <c r="A14" s="77">
        <v>2018</v>
      </c>
      <c r="B14" s="96">
        <f>$D$58</f>
        <v>0</v>
      </c>
      <c r="C14" s="67"/>
      <c r="D14" s="67"/>
      <c r="E14" s="63"/>
    </row>
    <row r="15" spans="1:6" s="68" customFormat="1" ht="15.75" customHeight="1">
      <c r="A15" s="77">
        <v>2019</v>
      </c>
      <c r="B15" s="96">
        <f>$E$58</f>
        <v>0</v>
      </c>
      <c r="C15" s="67"/>
      <c r="D15" s="67"/>
      <c r="E15" s="63"/>
    </row>
    <row r="16" spans="1:6" s="68" customFormat="1" ht="15.75" customHeight="1">
      <c r="A16" s="77">
        <v>2020</v>
      </c>
      <c r="B16" s="96">
        <f>$F$58</f>
        <v>0</v>
      </c>
      <c r="C16" s="67"/>
      <c r="D16" s="67"/>
      <c r="E16" s="63"/>
    </row>
    <row r="17" spans="1:6" s="68" customFormat="1" ht="20.25" customHeight="1">
      <c r="A17" s="79" t="s">
        <v>92</v>
      </c>
      <c r="B17" s="96">
        <f>B16-B14</f>
        <v>0</v>
      </c>
      <c r="C17" s="67"/>
      <c r="D17" s="67"/>
      <c r="E17" s="63"/>
    </row>
    <row r="18" spans="1:6" s="3" customFormat="1" ht="6" customHeight="1">
      <c r="A18" s="71"/>
      <c r="B18" s="365"/>
      <c r="C18" s="365"/>
      <c r="D18" s="365"/>
      <c r="E18" s="178"/>
    </row>
    <row r="19" spans="1:6" hidden="1">
      <c r="A19" s="83" t="s">
        <v>174</v>
      </c>
      <c r="B19" s="47" t="s">
        <v>45</v>
      </c>
    </row>
    <row r="20" spans="1:6">
      <c r="A20" s="47" t="s">
        <v>156</v>
      </c>
      <c r="B20" s="48">
        <v>2016</v>
      </c>
      <c r="C20" s="48">
        <v>2017</v>
      </c>
      <c r="D20" s="48">
        <v>2018</v>
      </c>
      <c r="E20" s="48">
        <v>2019</v>
      </c>
      <c r="F20" s="48">
        <v>2020</v>
      </c>
    </row>
    <row r="21" spans="1:6">
      <c r="A21" s="49" t="s">
        <v>49</v>
      </c>
      <c r="B21" s="75">
        <v>0</v>
      </c>
      <c r="C21" s="75">
        <v>0</v>
      </c>
      <c r="D21" s="75">
        <v>0</v>
      </c>
      <c r="E21" s="75">
        <v>0</v>
      </c>
      <c r="F21" s="75">
        <v>0</v>
      </c>
    </row>
    <row r="22" spans="1:6">
      <c r="A22" s="51" t="s">
        <v>1</v>
      </c>
      <c r="B22" s="75">
        <v>0</v>
      </c>
      <c r="C22" s="75">
        <v>0</v>
      </c>
      <c r="D22" s="75">
        <v>0</v>
      </c>
      <c r="E22" s="75">
        <v>0</v>
      </c>
      <c r="F22" s="75">
        <v>0</v>
      </c>
    </row>
    <row r="23" spans="1:6">
      <c r="A23" s="51" t="s">
        <v>3</v>
      </c>
      <c r="B23" s="75">
        <v>0</v>
      </c>
      <c r="C23" s="75">
        <v>0</v>
      </c>
      <c r="D23" s="75">
        <v>0</v>
      </c>
      <c r="E23" s="75">
        <v>0</v>
      </c>
      <c r="F23" s="75">
        <v>0</v>
      </c>
    </row>
    <row r="24" spans="1:6">
      <c r="A24" s="51" t="s">
        <v>4</v>
      </c>
      <c r="B24" s="75">
        <v>0</v>
      </c>
      <c r="C24" s="75">
        <v>0</v>
      </c>
      <c r="D24" s="75">
        <v>0</v>
      </c>
      <c r="E24" s="75">
        <v>0</v>
      </c>
      <c r="F24" s="75">
        <v>0</v>
      </c>
    </row>
    <row r="25" spans="1:6">
      <c r="A25" s="51" t="s">
        <v>5</v>
      </c>
      <c r="B25" s="75">
        <v>0</v>
      </c>
      <c r="C25" s="75">
        <v>0</v>
      </c>
      <c r="D25" s="75">
        <v>0</v>
      </c>
      <c r="E25" s="75">
        <v>0</v>
      </c>
      <c r="F25" s="75">
        <v>0</v>
      </c>
    </row>
    <row r="26" spans="1:6">
      <c r="A26" s="51" t="s">
        <v>6</v>
      </c>
      <c r="B26" s="75">
        <v>0</v>
      </c>
      <c r="C26" s="75">
        <v>0</v>
      </c>
      <c r="D26" s="75">
        <v>0</v>
      </c>
      <c r="E26" s="75">
        <v>0</v>
      </c>
      <c r="F26" s="75">
        <v>0</v>
      </c>
    </row>
    <row r="27" spans="1:6">
      <c r="A27" s="51" t="s">
        <v>7</v>
      </c>
      <c r="B27" s="75">
        <v>0</v>
      </c>
      <c r="C27" s="75">
        <v>0</v>
      </c>
      <c r="D27" s="75">
        <v>0</v>
      </c>
      <c r="E27" s="75">
        <v>0</v>
      </c>
      <c r="F27" s="75">
        <v>0</v>
      </c>
    </row>
    <row r="28" spans="1:6">
      <c r="A28" s="51" t="s">
        <v>31</v>
      </c>
      <c r="B28" s="75">
        <v>0</v>
      </c>
      <c r="C28" s="75">
        <v>0</v>
      </c>
      <c r="D28" s="75">
        <v>0</v>
      </c>
      <c r="E28" s="75">
        <v>0</v>
      </c>
      <c r="F28" s="75">
        <v>0</v>
      </c>
    </row>
    <row r="29" spans="1:6">
      <c r="A29" s="51" t="s">
        <v>8</v>
      </c>
      <c r="B29" s="75">
        <v>0</v>
      </c>
      <c r="C29" s="75">
        <v>0</v>
      </c>
      <c r="D29" s="75">
        <v>0</v>
      </c>
      <c r="E29" s="75">
        <v>0</v>
      </c>
      <c r="F29" s="75">
        <v>0</v>
      </c>
    </row>
    <row r="30" spans="1:6">
      <c r="A30" s="51" t="s">
        <v>9</v>
      </c>
      <c r="B30" s="75">
        <v>0</v>
      </c>
      <c r="C30" s="75">
        <v>0</v>
      </c>
      <c r="D30" s="75">
        <v>0</v>
      </c>
      <c r="E30" s="75">
        <v>0</v>
      </c>
      <c r="F30" s="75">
        <v>0</v>
      </c>
    </row>
    <row r="31" spans="1:6">
      <c r="A31" s="51" t="s">
        <v>10</v>
      </c>
      <c r="B31" s="75">
        <v>0</v>
      </c>
      <c r="C31" s="75">
        <v>0</v>
      </c>
      <c r="D31" s="75">
        <v>0</v>
      </c>
      <c r="E31" s="75">
        <v>0</v>
      </c>
      <c r="F31" s="75">
        <v>0</v>
      </c>
    </row>
    <row r="32" spans="1:6">
      <c r="A32" s="51" t="s">
        <v>11</v>
      </c>
      <c r="B32" s="75">
        <v>0</v>
      </c>
      <c r="C32" s="75">
        <v>0</v>
      </c>
      <c r="D32" s="75">
        <v>0</v>
      </c>
      <c r="E32" s="75">
        <v>0</v>
      </c>
      <c r="F32" s="75">
        <v>0</v>
      </c>
    </row>
    <row r="33" spans="1:6">
      <c r="A33" s="51" t="s">
        <v>12</v>
      </c>
      <c r="B33" s="75">
        <v>0</v>
      </c>
      <c r="C33" s="75">
        <v>0</v>
      </c>
      <c r="D33" s="75">
        <v>0</v>
      </c>
      <c r="E33" s="75">
        <v>0</v>
      </c>
      <c r="F33" s="75">
        <v>0</v>
      </c>
    </row>
    <row r="34" spans="1:6">
      <c r="A34" s="51" t="s">
        <v>13</v>
      </c>
      <c r="B34" s="75">
        <v>0</v>
      </c>
      <c r="C34" s="75">
        <v>0</v>
      </c>
      <c r="D34" s="75">
        <v>0</v>
      </c>
      <c r="E34" s="75">
        <v>0</v>
      </c>
      <c r="F34" s="75">
        <v>0</v>
      </c>
    </row>
    <row r="35" spans="1:6">
      <c r="A35" s="51" t="s">
        <v>14</v>
      </c>
      <c r="B35" s="75">
        <v>0</v>
      </c>
      <c r="C35" s="75">
        <v>0</v>
      </c>
      <c r="D35" s="75">
        <v>0</v>
      </c>
      <c r="E35" s="75">
        <v>0</v>
      </c>
      <c r="F35" s="75">
        <v>0</v>
      </c>
    </row>
    <row r="36" spans="1:6">
      <c r="A36" s="51" t="s">
        <v>30</v>
      </c>
      <c r="B36" s="75">
        <v>0</v>
      </c>
      <c r="C36" s="75">
        <v>0</v>
      </c>
      <c r="D36" s="75">
        <v>0</v>
      </c>
      <c r="E36" s="75">
        <v>0</v>
      </c>
      <c r="F36" s="75">
        <v>0</v>
      </c>
    </row>
    <row r="37" spans="1:6">
      <c r="A37" s="51" t="s">
        <v>15</v>
      </c>
      <c r="B37" s="75">
        <v>0</v>
      </c>
      <c r="C37" s="75">
        <v>0</v>
      </c>
      <c r="D37" s="75">
        <v>0</v>
      </c>
      <c r="E37" s="75">
        <v>0</v>
      </c>
      <c r="F37" s="75">
        <v>0</v>
      </c>
    </row>
    <row r="38" spans="1:6">
      <c r="A38" s="51" t="s">
        <v>16</v>
      </c>
      <c r="B38" s="75">
        <v>0</v>
      </c>
      <c r="C38" s="75">
        <v>0</v>
      </c>
      <c r="D38" s="75">
        <v>0</v>
      </c>
      <c r="E38" s="75">
        <v>0</v>
      </c>
      <c r="F38" s="75">
        <v>0</v>
      </c>
    </row>
    <row r="39" spans="1:6">
      <c r="A39" s="51" t="s">
        <v>17</v>
      </c>
      <c r="B39" s="75">
        <v>0</v>
      </c>
      <c r="C39" s="75">
        <v>0</v>
      </c>
      <c r="D39" s="75">
        <v>0</v>
      </c>
      <c r="E39" s="75">
        <v>0</v>
      </c>
      <c r="F39" s="75">
        <v>0</v>
      </c>
    </row>
    <row r="40" spans="1:6">
      <c r="A40" s="51" t="s">
        <v>18</v>
      </c>
      <c r="B40" s="75">
        <v>0</v>
      </c>
      <c r="C40" s="75">
        <v>0</v>
      </c>
      <c r="D40" s="75">
        <v>0</v>
      </c>
      <c r="E40" s="75">
        <v>0</v>
      </c>
      <c r="F40" s="75">
        <v>0</v>
      </c>
    </row>
    <row r="41" spans="1:6">
      <c r="A41" s="51" t="s">
        <v>29</v>
      </c>
      <c r="B41" s="75">
        <v>0</v>
      </c>
      <c r="C41" s="75">
        <v>0</v>
      </c>
      <c r="D41" s="75">
        <v>0</v>
      </c>
      <c r="E41" s="75">
        <v>0</v>
      </c>
      <c r="F41" s="75">
        <v>0</v>
      </c>
    </row>
    <row r="42" spans="1:6">
      <c r="A42" s="51" t="s">
        <v>19</v>
      </c>
      <c r="B42" s="75">
        <v>0</v>
      </c>
      <c r="C42" s="75">
        <v>0</v>
      </c>
      <c r="D42" s="75">
        <v>0</v>
      </c>
      <c r="E42" s="75">
        <v>0</v>
      </c>
      <c r="F42" s="75">
        <v>0</v>
      </c>
    </row>
    <row r="43" spans="1:6">
      <c r="A43" s="51" t="s">
        <v>20</v>
      </c>
      <c r="B43" s="75">
        <v>0</v>
      </c>
      <c r="C43" s="75">
        <v>0</v>
      </c>
      <c r="D43" s="75">
        <v>0</v>
      </c>
      <c r="E43" s="75">
        <v>0</v>
      </c>
      <c r="F43" s="75">
        <v>0</v>
      </c>
    </row>
    <row r="44" spans="1:6">
      <c r="A44" s="51" t="s">
        <v>21</v>
      </c>
      <c r="B44" s="75">
        <v>0</v>
      </c>
      <c r="C44" s="75">
        <v>0</v>
      </c>
      <c r="D44" s="75">
        <v>0</v>
      </c>
      <c r="E44" s="75">
        <v>0</v>
      </c>
      <c r="F44" s="75">
        <v>0</v>
      </c>
    </row>
    <row r="45" spans="1:6">
      <c r="A45" s="51" t="s">
        <v>22</v>
      </c>
      <c r="B45" s="75">
        <v>0</v>
      </c>
      <c r="C45" s="75">
        <v>0</v>
      </c>
      <c r="D45" s="75">
        <v>0</v>
      </c>
      <c r="E45" s="75">
        <v>0</v>
      </c>
      <c r="F45" s="75">
        <v>0</v>
      </c>
    </row>
    <row r="46" spans="1:6">
      <c r="A46" s="51" t="s">
        <v>23</v>
      </c>
      <c r="B46" s="75">
        <v>0</v>
      </c>
      <c r="C46" s="75">
        <v>0</v>
      </c>
      <c r="D46" s="75">
        <v>0</v>
      </c>
      <c r="E46" s="75">
        <v>0</v>
      </c>
      <c r="F46" s="75">
        <v>0</v>
      </c>
    </row>
    <row r="47" spans="1:6">
      <c r="A47" s="51" t="s">
        <v>24</v>
      </c>
      <c r="B47" s="75">
        <v>0</v>
      </c>
      <c r="C47" s="75">
        <v>0</v>
      </c>
      <c r="D47" s="75">
        <v>0</v>
      </c>
      <c r="E47" s="75">
        <v>0</v>
      </c>
      <c r="F47" s="75">
        <v>0</v>
      </c>
    </row>
    <row r="48" spans="1:6">
      <c r="A48" s="51" t="s">
        <v>25</v>
      </c>
      <c r="B48" s="75">
        <v>0</v>
      </c>
      <c r="C48" s="75">
        <v>0</v>
      </c>
      <c r="D48" s="75">
        <v>0</v>
      </c>
      <c r="E48" s="75">
        <v>0</v>
      </c>
      <c r="F48" s="75">
        <v>0</v>
      </c>
    </row>
    <row r="49" spans="1:6">
      <c r="A49" s="51" t="s">
        <v>53</v>
      </c>
      <c r="B49" s="75">
        <v>0</v>
      </c>
      <c r="C49" s="75">
        <v>0</v>
      </c>
      <c r="D49" s="75">
        <v>0</v>
      </c>
      <c r="E49" s="75">
        <v>0</v>
      </c>
      <c r="F49" s="75">
        <v>0</v>
      </c>
    </row>
    <row r="50" spans="1:6">
      <c r="A50" s="51" t="s">
        <v>26</v>
      </c>
      <c r="B50" s="75">
        <v>0</v>
      </c>
      <c r="C50" s="75">
        <v>0</v>
      </c>
      <c r="D50" s="75">
        <v>0</v>
      </c>
      <c r="E50" s="75">
        <v>0</v>
      </c>
      <c r="F50" s="75">
        <v>0</v>
      </c>
    </row>
    <row r="51" spans="1:6">
      <c r="A51" s="51" t="s">
        <v>27</v>
      </c>
      <c r="B51" s="75">
        <v>0</v>
      </c>
      <c r="C51" s="75">
        <v>0</v>
      </c>
      <c r="D51" s="75">
        <v>0</v>
      </c>
      <c r="E51" s="75">
        <v>0</v>
      </c>
      <c r="F51" s="75">
        <v>0</v>
      </c>
    </row>
    <row r="52" spans="1:6">
      <c r="A52" s="49" t="s">
        <v>50</v>
      </c>
      <c r="B52" s="80">
        <v>0</v>
      </c>
      <c r="C52" s="80">
        <v>0</v>
      </c>
      <c r="D52" s="80">
        <v>0</v>
      </c>
      <c r="E52" s="80">
        <v>0</v>
      </c>
      <c r="F52" s="80">
        <v>0</v>
      </c>
    </row>
    <row r="53" spans="1:6">
      <c r="A53" s="51" t="s">
        <v>32</v>
      </c>
      <c r="B53" s="75">
        <v>0</v>
      </c>
      <c r="C53" s="75">
        <v>0</v>
      </c>
      <c r="D53" s="75">
        <v>0</v>
      </c>
      <c r="E53" s="75">
        <v>0</v>
      </c>
      <c r="F53" s="75">
        <v>0</v>
      </c>
    </row>
    <row r="54" spans="1:6">
      <c r="A54" s="51" t="s">
        <v>28</v>
      </c>
      <c r="B54" s="75">
        <v>0</v>
      </c>
      <c r="C54" s="75">
        <v>0</v>
      </c>
      <c r="D54" s="75">
        <v>0</v>
      </c>
      <c r="E54" s="75">
        <v>0</v>
      </c>
      <c r="F54" s="75">
        <v>0</v>
      </c>
    </row>
    <row r="55" spans="1:6" hidden="1">
      <c r="A55" s="51" t="s">
        <v>39</v>
      </c>
      <c r="B55" s="75">
        <v>0</v>
      </c>
      <c r="C55" s="75">
        <v>0</v>
      </c>
      <c r="D55" s="75">
        <v>0</v>
      </c>
      <c r="E55" s="75">
        <v>0</v>
      </c>
      <c r="F55" s="75">
        <v>0</v>
      </c>
    </row>
    <row r="56" spans="1:6" hidden="1">
      <c r="A56" s="49" t="s">
        <v>124</v>
      </c>
      <c r="B56" s="75">
        <v>0</v>
      </c>
      <c r="C56" s="75">
        <v>0</v>
      </c>
      <c r="D56" s="75">
        <v>0</v>
      </c>
      <c r="E56" s="75">
        <v>0</v>
      </c>
      <c r="F56" s="75">
        <v>0</v>
      </c>
    </row>
    <row r="57" spans="1:6" hidden="1">
      <c r="A57" s="51" t="s">
        <v>40</v>
      </c>
      <c r="B57" s="75">
        <v>0</v>
      </c>
      <c r="C57" s="75">
        <v>0</v>
      </c>
      <c r="D57" s="75">
        <v>0</v>
      </c>
      <c r="E57" s="75">
        <v>0</v>
      </c>
      <c r="F57" s="75">
        <v>0</v>
      </c>
    </row>
    <row r="58" spans="1:6" hidden="1">
      <c r="A58" s="49" t="s">
        <v>37</v>
      </c>
      <c r="B58" s="75">
        <v>0</v>
      </c>
      <c r="C58" s="75">
        <v>0</v>
      </c>
      <c r="D58" s="75">
        <v>0</v>
      </c>
      <c r="E58" s="75">
        <v>0</v>
      </c>
      <c r="F58" s="75">
        <v>0</v>
      </c>
    </row>
    <row r="59" spans="1:6" ht="4.5" customHeight="1">
      <c r="A59" s="3"/>
      <c r="B59" s="3"/>
      <c r="C59" s="3"/>
      <c r="D59" s="3"/>
      <c r="E59" s="3"/>
    </row>
    <row r="60" spans="1:6" ht="12" customHeight="1">
      <c r="A60" s="85" t="s">
        <v>43</v>
      </c>
      <c r="B60" s="85"/>
      <c r="C60" s="85"/>
      <c r="D60" s="85"/>
      <c r="E60" s="85"/>
    </row>
  </sheetData>
  <mergeCells count="2">
    <mergeCell ref="B18:D18"/>
    <mergeCell ref="A5:F5"/>
  </mergeCells>
  <printOptions horizontalCentered="1"/>
  <pageMargins left="0.31496062992125984" right="0.31496062992125984" top="0.55118110236220474" bottom="0.55118110236220474" header="0.31496062992125984" footer="0.31496062992125984"/>
  <pageSetup paperSize="122"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3"/>
  <sheetViews>
    <sheetView showGridLines="0" zoomScale="80" zoomScaleNormal="80" workbookViewId="0">
      <selection activeCell="G20" sqref="G20"/>
    </sheetView>
  </sheetViews>
  <sheetFormatPr baseColWidth="10" defaultColWidth="11.42578125" defaultRowHeight="13.5"/>
  <cols>
    <col min="1" max="1" width="23.42578125" style="48" customWidth="1"/>
    <col min="2" max="18" width="14.7109375" style="48" customWidth="1"/>
    <col min="19" max="16384" width="11.42578125" style="48"/>
  </cols>
  <sheetData>
    <row r="1" spans="1:21" s="3" customFormat="1" ht="12.75" customHeight="1">
      <c r="A1" s="47" t="s">
        <v>45</v>
      </c>
      <c r="B1" s="49">
        <v>2021</v>
      </c>
      <c r="C1" s="172"/>
      <c r="D1" s="172"/>
      <c r="E1" s="173"/>
      <c r="F1" s="173"/>
      <c r="G1" s="173"/>
      <c r="H1" s="208"/>
    </row>
    <row r="2" spans="1:21" ht="15.75" customHeight="1">
      <c r="A2" s="3"/>
      <c r="B2" s="3"/>
      <c r="C2" s="3"/>
      <c r="D2" s="3"/>
      <c r="E2" s="3"/>
      <c r="F2" s="3"/>
      <c r="G2" s="3"/>
      <c r="H2" s="3"/>
      <c r="I2" s="3"/>
      <c r="J2" s="2"/>
      <c r="K2" s="2"/>
      <c r="L2" s="2"/>
      <c r="M2" s="2"/>
      <c r="N2" s="2"/>
    </row>
    <row r="3" spans="1:21" s="212" customFormat="1" ht="27">
      <c r="A3" s="211" t="s">
        <v>94</v>
      </c>
      <c r="B3" s="114" t="s">
        <v>162</v>
      </c>
      <c r="C3" s="114" t="s">
        <v>187</v>
      </c>
      <c r="D3" s="114" t="s">
        <v>186</v>
      </c>
      <c r="E3" s="114" t="s">
        <v>175</v>
      </c>
      <c r="F3" s="114" t="s">
        <v>166</v>
      </c>
      <c r="G3" s="114" t="s">
        <v>157</v>
      </c>
      <c r="H3" s="114" t="s">
        <v>159</v>
      </c>
      <c r="I3" s="114" t="s">
        <v>161</v>
      </c>
      <c r="J3" s="114" t="s">
        <v>163</v>
      </c>
      <c r="K3" s="114" t="s">
        <v>168</v>
      </c>
      <c r="L3" s="114" t="s">
        <v>174</v>
      </c>
      <c r="M3" s="114" t="s">
        <v>177</v>
      </c>
      <c r="N3" s="114" t="s">
        <v>172</v>
      </c>
      <c r="O3" s="114" t="s">
        <v>178</v>
      </c>
      <c r="P3" s="114" t="s">
        <v>181</v>
      </c>
      <c r="Q3" s="114" t="s">
        <v>190</v>
      </c>
      <c r="R3" s="114" t="s">
        <v>195</v>
      </c>
      <c r="S3" s="127"/>
      <c r="T3" s="127"/>
      <c r="U3" s="127"/>
    </row>
    <row r="4" spans="1:21" ht="15">
      <c r="A4" s="48" t="s">
        <v>1</v>
      </c>
      <c r="B4" s="110">
        <v>4237</v>
      </c>
      <c r="C4" s="110">
        <v>1136</v>
      </c>
      <c r="D4" s="110">
        <v>2240</v>
      </c>
      <c r="E4" s="75">
        <v>93.064667291471409</v>
      </c>
      <c r="F4" s="209">
        <v>16.596777753255353</v>
      </c>
      <c r="G4" s="209">
        <v>4.8422224972156913</v>
      </c>
      <c r="H4" s="209">
        <v>62.05269366889501</v>
      </c>
      <c r="I4" s="209">
        <v>6.8243739999135062</v>
      </c>
      <c r="J4" s="209">
        <v>63.810240963855428</v>
      </c>
      <c r="K4" s="209">
        <v>17.819211706396036</v>
      </c>
      <c r="L4" s="75">
        <v>0</v>
      </c>
      <c r="M4" s="75">
        <v>19548.081661552984</v>
      </c>
      <c r="N4" s="75">
        <v>61.397276494967436</v>
      </c>
      <c r="O4" s="209">
        <v>15.577205882352942</v>
      </c>
      <c r="P4" s="209">
        <v>9.8764568764568761</v>
      </c>
      <c r="Q4" s="209">
        <v>1.6757139485485013</v>
      </c>
      <c r="R4" s="209">
        <v>0</v>
      </c>
      <c r="S4" s="3"/>
      <c r="T4" s="3"/>
      <c r="U4" s="3"/>
    </row>
    <row r="5" spans="1:21" ht="15">
      <c r="A5" s="48" t="s">
        <v>3</v>
      </c>
      <c r="B5" s="110">
        <v>8841</v>
      </c>
      <c r="C5" s="110">
        <v>6040</v>
      </c>
      <c r="D5" s="110">
        <v>1131</v>
      </c>
      <c r="E5" s="75">
        <v>91.595092024539881</v>
      </c>
      <c r="F5" s="209">
        <v>16.517805359007077</v>
      </c>
      <c r="G5" s="209">
        <v>4.0395514933306265</v>
      </c>
      <c r="H5" s="209">
        <v>94.711401762866075</v>
      </c>
      <c r="I5" s="209">
        <v>5.6011434336640322</v>
      </c>
      <c r="J5" s="209">
        <v>88.41</v>
      </c>
      <c r="K5" s="209">
        <v>12.724804886325074</v>
      </c>
      <c r="L5" s="75">
        <v>0</v>
      </c>
      <c r="M5" s="75">
        <v>17096.273346906459</v>
      </c>
      <c r="N5" s="75">
        <v>48.452669902912618</v>
      </c>
      <c r="O5" s="209">
        <v>23.0234375</v>
      </c>
      <c r="P5" s="209">
        <v>11.803738317757009</v>
      </c>
      <c r="Q5" s="209">
        <v>2.2508765976699467</v>
      </c>
      <c r="R5" s="209">
        <v>0</v>
      </c>
      <c r="S5" s="3"/>
      <c r="T5" s="3"/>
      <c r="U5" s="3"/>
    </row>
    <row r="6" spans="1:21" ht="15">
      <c r="A6" s="48" t="s">
        <v>4</v>
      </c>
      <c r="B6" s="110">
        <v>1531</v>
      </c>
      <c r="C6" s="110">
        <v>418</v>
      </c>
      <c r="D6" s="110">
        <v>0</v>
      </c>
      <c r="E6" s="75">
        <v>99.693251533742327</v>
      </c>
      <c r="F6" s="209">
        <v>20.26578073089701</v>
      </c>
      <c r="G6" s="209">
        <v>3.2439638572063396</v>
      </c>
      <c r="H6" s="209">
        <v>71.979695431472081</v>
      </c>
      <c r="I6" s="209">
        <v>5.5033765427307308</v>
      </c>
      <c r="J6" s="209">
        <v>106.31944444444446</v>
      </c>
      <c r="K6" s="209">
        <v>20.117570215545395</v>
      </c>
      <c r="L6" s="75">
        <v>0</v>
      </c>
      <c r="M6" s="75">
        <v>24691.223135205746</v>
      </c>
      <c r="N6" s="75">
        <v>54.197349042709867</v>
      </c>
      <c r="O6" s="209">
        <v>19.137499999999999</v>
      </c>
      <c r="P6" s="209">
        <v>7.0552995391705071</v>
      </c>
      <c r="Q6" s="209">
        <v>0</v>
      </c>
      <c r="R6" s="209">
        <v>0</v>
      </c>
      <c r="S6" s="3"/>
      <c r="T6" s="3"/>
      <c r="U6" s="3"/>
    </row>
    <row r="7" spans="1:21">
      <c r="A7" s="48" t="s">
        <v>5</v>
      </c>
      <c r="B7" s="110">
        <v>1937</v>
      </c>
      <c r="C7" s="110">
        <v>2251</v>
      </c>
      <c r="D7" s="110">
        <v>765</v>
      </c>
      <c r="E7" s="75">
        <v>80</v>
      </c>
      <c r="F7" s="209">
        <v>18.836140888208273</v>
      </c>
      <c r="G7" s="209">
        <v>3.0526315789473681</v>
      </c>
      <c r="H7" s="209">
        <v>90.136054421768705</v>
      </c>
      <c r="I7" s="209">
        <v>5.4541712403951701</v>
      </c>
      <c r="J7" s="209">
        <v>62.083333333333336</v>
      </c>
      <c r="K7" s="209">
        <v>19.876097057305113</v>
      </c>
      <c r="L7" s="75">
        <v>0</v>
      </c>
      <c r="M7" s="75">
        <v>23876.782173464115</v>
      </c>
      <c r="N7" s="75">
        <v>53.007518796992478</v>
      </c>
      <c r="O7" s="209">
        <v>16.008264462809919</v>
      </c>
      <c r="P7" s="209">
        <v>5.8519637462235652</v>
      </c>
      <c r="Q7" s="209">
        <v>0</v>
      </c>
      <c r="R7" s="209">
        <v>0</v>
      </c>
    </row>
    <row r="8" spans="1:21">
      <c r="A8" s="48" t="s">
        <v>6</v>
      </c>
      <c r="B8" s="110">
        <v>8499</v>
      </c>
      <c r="C8" s="110">
        <v>3583</v>
      </c>
      <c r="D8" s="110">
        <v>541</v>
      </c>
      <c r="E8" s="75">
        <v>76.988155668358715</v>
      </c>
      <c r="F8" s="209">
        <v>11.273750879662215</v>
      </c>
      <c r="G8" s="209">
        <v>1.7612449169246431</v>
      </c>
      <c r="H8" s="209">
        <v>82.598408259840824</v>
      </c>
      <c r="I8" s="209">
        <v>4.1360145622179374</v>
      </c>
      <c r="J8" s="209">
        <v>66.3984375</v>
      </c>
      <c r="K8" s="209">
        <v>12.683845158253911</v>
      </c>
      <c r="L8" s="75">
        <v>0</v>
      </c>
      <c r="M8" s="75">
        <v>26016.114601717851</v>
      </c>
      <c r="N8" s="75">
        <v>63.588920112404658</v>
      </c>
      <c r="O8" s="209">
        <v>19.765116279069769</v>
      </c>
      <c r="P8" s="209">
        <v>11.903361344537815</v>
      </c>
      <c r="Q8" s="209">
        <v>0.74126367807977411</v>
      </c>
      <c r="R8" s="209">
        <v>0</v>
      </c>
    </row>
    <row r="9" spans="1:21">
      <c r="A9" s="48" t="s">
        <v>7</v>
      </c>
      <c r="B9" s="110">
        <v>8336</v>
      </c>
      <c r="C9" s="110">
        <v>2181</v>
      </c>
      <c r="D9" s="110">
        <v>166</v>
      </c>
      <c r="E9" s="75">
        <v>91.190108191653792</v>
      </c>
      <c r="F9" s="209">
        <v>23.018080667593878</v>
      </c>
      <c r="G9" s="209">
        <v>3.7265889043582643</v>
      </c>
      <c r="H9" s="209">
        <v>83.284671532846716</v>
      </c>
      <c r="I9" s="209">
        <v>5.8612010068320748</v>
      </c>
      <c r="J9" s="209">
        <v>67.662337662337663</v>
      </c>
      <c r="K9" s="209">
        <v>20.633397312859884</v>
      </c>
      <c r="L9" s="75">
        <v>0</v>
      </c>
      <c r="M9" s="75">
        <v>24379.529030710171</v>
      </c>
      <c r="N9" s="75">
        <v>48.610696145802216</v>
      </c>
      <c r="O9" s="209">
        <v>14.832740213523131</v>
      </c>
      <c r="P9" s="209">
        <v>8.4801627670396744</v>
      </c>
      <c r="Q9" s="209">
        <v>2.1113243761996161</v>
      </c>
      <c r="R9" s="209">
        <v>0</v>
      </c>
    </row>
    <row r="10" spans="1:21">
      <c r="A10" s="48" t="s">
        <v>32</v>
      </c>
      <c r="B10" s="110">
        <v>46483</v>
      </c>
      <c r="C10" s="110">
        <v>3707</v>
      </c>
      <c r="D10" s="110">
        <v>206</v>
      </c>
      <c r="E10" s="75">
        <v>51.50878060845907</v>
      </c>
      <c r="F10" s="209">
        <v>13.805305844341387</v>
      </c>
      <c r="G10" s="209">
        <v>10.58107848469842</v>
      </c>
      <c r="H10" s="209">
        <v>83.52488531544418</v>
      </c>
      <c r="I10" s="209">
        <v>11.976094490416578</v>
      </c>
      <c r="J10" s="209">
        <v>101.05</v>
      </c>
      <c r="K10" s="209">
        <v>10.922272658821505</v>
      </c>
      <c r="L10" s="75">
        <v>0</v>
      </c>
      <c r="M10" s="75">
        <v>15986.546811422024</v>
      </c>
      <c r="N10" s="75">
        <v>47.785220397579948</v>
      </c>
      <c r="O10" s="209">
        <v>20.522295805739514</v>
      </c>
      <c r="P10" s="209">
        <v>12.546018893387314</v>
      </c>
      <c r="Q10" s="209">
        <v>0.16350063464062131</v>
      </c>
      <c r="R10" s="209">
        <v>0</v>
      </c>
    </row>
    <row r="11" spans="1:21">
      <c r="A11" s="48" t="s">
        <v>31</v>
      </c>
      <c r="B11" s="110">
        <v>10123</v>
      </c>
      <c r="C11" s="110">
        <v>700</v>
      </c>
      <c r="D11" s="110">
        <v>24</v>
      </c>
      <c r="E11" s="75">
        <v>99.936948297604033</v>
      </c>
      <c r="F11" s="209">
        <v>9.7520980032796416</v>
      </c>
      <c r="G11" s="209">
        <v>5.7068873752384599</v>
      </c>
      <c r="H11" s="209">
        <v>86.621208558664478</v>
      </c>
      <c r="I11" s="209">
        <v>7.4479914279360333</v>
      </c>
      <c r="J11" s="209">
        <v>93.731481481481481</v>
      </c>
      <c r="K11" s="209">
        <v>10.164970858441173</v>
      </c>
      <c r="L11" s="75">
        <v>0</v>
      </c>
      <c r="M11" s="75">
        <v>16253.11475945866</v>
      </c>
      <c r="N11" s="75">
        <v>71.76381529144588</v>
      </c>
      <c r="O11" s="209">
        <v>23.93144208037825</v>
      </c>
      <c r="P11" s="209">
        <v>8.8720420683610861</v>
      </c>
      <c r="Q11" s="209">
        <v>0.41489676973229278</v>
      </c>
      <c r="R11" s="209">
        <v>0</v>
      </c>
    </row>
    <row r="12" spans="1:21">
      <c r="A12" s="48" t="s">
        <v>8</v>
      </c>
      <c r="B12" s="110">
        <v>1760</v>
      </c>
      <c r="C12" s="110">
        <v>363</v>
      </c>
      <c r="D12" s="110">
        <v>15</v>
      </c>
      <c r="E12" s="75">
        <v>89.684813753581665</v>
      </c>
      <c r="F12" s="209">
        <v>20.389399675500275</v>
      </c>
      <c r="G12" s="209">
        <v>2.8065511273858195</v>
      </c>
      <c r="H12" s="209">
        <v>89.723320158102766</v>
      </c>
      <c r="I12" s="209">
        <v>6.1993627674101051</v>
      </c>
      <c r="J12" s="209">
        <v>46.808510638297875</v>
      </c>
      <c r="K12" s="209">
        <v>17.954545454545453</v>
      </c>
      <c r="L12" s="75">
        <v>0</v>
      </c>
      <c r="M12" s="75">
        <v>26352.42878977273</v>
      </c>
      <c r="N12" s="75">
        <v>46.788990825688074</v>
      </c>
      <c r="O12" s="209">
        <v>16</v>
      </c>
      <c r="P12" s="209">
        <v>5.5</v>
      </c>
      <c r="Q12" s="209">
        <v>0.39772727272727271</v>
      </c>
      <c r="R12" s="209">
        <v>0</v>
      </c>
    </row>
    <row r="13" spans="1:21">
      <c r="A13" s="48" t="s">
        <v>9</v>
      </c>
      <c r="B13" s="110">
        <v>1607</v>
      </c>
      <c r="C13" s="110">
        <v>1904</v>
      </c>
      <c r="D13" s="110">
        <v>26</v>
      </c>
      <c r="E13" s="75">
        <v>58.603491271820452</v>
      </c>
      <c r="F13" s="209">
        <v>26.35852592129919</v>
      </c>
      <c r="G13" s="209">
        <v>1.3140668186005915</v>
      </c>
      <c r="H13" s="209">
        <v>90.931989924433253</v>
      </c>
      <c r="I13" s="209">
        <v>2.4852844996729888</v>
      </c>
      <c r="J13" s="209">
        <v>39.38725490196078</v>
      </c>
      <c r="K13" s="209">
        <v>31.113876789047918</v>
      </c>
      <c r="L13" s="75">
        <v>0</v>
      </c>
      <c r="M13" s="75">
        <v>28462.034953329185</v>
      </c>
      <c r="N13" s="75">
        <v>35.887096774193552</v>
      </c>
      <c r="O13" s="209">
        <v>10.858108108108109</v>
      </c>
      <c r="P13" s="209">
        <v>6.180769230769231</v>
      </c>
      <c r="Q13" s="209">
        <v>2.1157436216552581</v>
      </c>
      <c r="R13" s="209">
        <v>0</v>
      </c>
    </row>
    <row r="14" spans="1:21">
      <c r="A14" s="48" t="s">
        <v>10</v>
      </c>
      <c r="B14" s="110">
        <v>16462</v>
      </c>
      <c r="C14" s="110">
        <v>1214</v>
      </c>
      <c r="D14" s="110">
        <v>96</v>
      </c>
      <c r="E14" s="75">
        <v>94.89221208001554</v>
      </c>
      <c r="F14" s="209">
        <v>18.064700830231896</v>
      </c>
      <c r="G14" s="209">
        <v>4.5035817926033186</v>
      </c>
      <c r="H14" s="209">
        <v>82.454760031471281</v>
      </c>
      <c r="I14" s="209">
        <v>6.2861770086674857</v>
      </c>
      <c r="J14" s="209">
        <v>66.810064935064943</v>
      </c>
      <c r="K14" s="209">
        <v>24.231563601020532</v>
      </c>
      <c r="L14" s="75">
        <v>0</v>
      </c>
      <c r="M14" s="75">
        <v>17764.911357672212</v>
      </c>
      <c r="N14" s="75">
        <v>61.24661246612466</v>
      </c>
      <c r="O14" s="209">
        <v>20.475124378109452</v>
      </c>
      <c r="P14" s="209">
        <v>7.5272062185642437</v>
      </c>
      <c r="Q14" s="209">
        <v>0.64998177621188191</v>
      </c>
      <c r="R14" s="209">
        <v>0</v>
      </c>
    </row>
    <row r="15" spans="1:21">
      <c r="A15" s="48" t="s">
        <v>11</v>
      </c>
      <c r="B15" s="110">
        <v>5818</v>
      </c>
      <c r="C15" s="110">
        <v>11625</v>
      </c>
      <c r="D15" s="110">
        <v>20</v>
      </c>
      <c r="E15" s="75">
        <v>75.071839080459768</v>
      </c>
      <c r="F15" s="209">
        <v>21.544375731238507</v>
      </c>
      <c r="G15" s="209">
        <v>2.4378833806716469</v>
      </c>
      <c r="H15" s="209">
        <v>88.583815028901739</v>
      </c>
      <c r="I15" s="209">
        <v>4.0358153927184146</v>
      </c>
      <c r="J15" s="209">
        <v>54.272388059701491</v>
      </c>
      <c r="K15" s="209">
        <v>27.449295290477828</v>
      </c>
      <c r="L15" s="75">
        <v>0</v>
      </c>
      <c r="M15" s="75">
        <v>29190.557064283257</v>
      </c>
      <c r="N15" s="75">
        <v>53.18257956448911</v>
      </c>
      <c r="O15" s="209">
        <v>20.062068965517241</v>
      </c>
      <c r="P15" s="209">
        <v>8.0917941585535473</v>
      </c>
      <c r="Q15" s="209">
        <v>11.069095909247164</v>
      </c>
      <c r="R15" s="209">
        <v>0</v>
      </c>
    </row>
    <row r="16" spans="1:21">
      <c r="A16" s="48" t="s">
        <v>12</v>
      </c>
      <c r="B16" s="110">
        <v>3684</v>
      </c>
      <c r="C16" s="110">
        <v>1140</v>
      </c>
      <c r="D16" s="110">
        <v>76</v>
      </c>
      <c r="E16" s="75">
        <v>99.768518518518519</v>
      </c>
      <c r="F16" s="209">
        <v>15.331196581196583</v>
      </c>
      <c r="G16" s="209">
        <v>2.0063115847146209</v>
      </c>
      <c r="H16" s="209">
        <v>82.8206616366802</v>
      </c>
      <c r="I16" s="209">
        <v>2.5691806348234705</v>
      </c>
      <c r="J16" s="209">
        <v>63.958333333333329</v>
      </c>
      <c r="K16" s="209">
        <v>12.730727470141151</v>
      </c>
      <c r="L16" s="75">
        <v>0</v>
      </c>
      <c r="M16" s="75">
        <v>19254.802377850163</v>
      </c>
      <c r="N16" s="75">
        <v>61.083743842364534</v>
      </c>
      <c r="O16" s="209">
        <v>18.989690721649485</v>
      </c>
      <c r="P16" s="209">
        <v>8.6074766355140184</v>
      </c>
      <c r="Q16" s="209">
        <v>0</v>
      </c>
      <c r="R16" s="209">
        <v>0</v>
      </c>
    </row>
    <row r="17" spans="1:18">
      <c r="A17" s="48" t="s">
        <v>13</v>
      </c>
      <c r="B17" s="110">
        <v>13107</v>
      </c>
      <c r="C17" s="110">
        <v>9912</v>
      </c>
      <c r="D17" s="110">
        <v>189</v>
      </c>
      <c r="E17" s="75">
        <v>88.123660850933589</v>
      </c>
      <c r="F17" s="209">
        <v>15.776324491145566</v>
      </c>
      <c r="G17" s="209">
        <v>2.4710511271284288</v>
      </c>
      <c r="H17" s="209">
        <v>98.460880718255666</v>
      </c>
      <c r="I17" s="209">
        <v>3.481086800438348</v>
      </c>
      <c r="J17" s="209">
        <v>60.013736263736263</v>
      </c>
      <c r="K17" s="209">
        <v>17.906462195773251</v>
      </c>
      <c r="L17" s="75">
        <v>0</v>
      </c>
      <c r="M17" s="75">
        <v>21551.870336461438</v>
      </c>
      <c r="N17" s="75">
        <v>49.864007252946507</v>
      </c>
      <c r="O17" s="209">
        <v>17.784260515603798</v>
      </c>
      <c r="P17" s="209">
        <v>6.2893474088291743</v>
      </c>
      <c r="Q17" s="209">
        <v>4.0436408026245516</v>
      </c>
      <c r="R17" s="209">
        <v>0</v>
      </c>
    </row>
    <row r="18" spans="1:18">
      <c r="A18" s="48" t="s">
        <v>14</v>
      </c>
      <c r="B18" s="110">
        <v>48029</v>
      </c>
      <c r="C18" s="110">
        <v>6191</v>
      </c>
      <c r="D18" s="110">
        <v>1171</v>
      </c>
      <c r="E18" s="75">
        <v>65.230029066853774</v>
      </c>
      <c r="F18" s="209">
        <v>13.656668793873639</v>
      </c>
      <c r="G18" s="209">
        <v>4.8483080316259137</v>
      </c>
      <c r="H18" s="209">
        <v>99.907042869641288</v>
      </c>
      <c r="I18" s="209">
        <v>6.5032229590002597</v>
      </c>
      <c r="J18" s="209">
        <v>75.803345959595958</v>
      </c>
      <c r="K18" s="209">
        <v>9.0237148389514665</v>
      </c>
      <c r="L18" s="75">
        <v>0</v>
      </c>
      <c r="M18" s="75">
        <v>17134.503095421514</v>
      </c>
      <c r="N18" s="75">
        <v>53.831518866927382</v>
      </c>
      <c r="O18" s="209">
        <v>22.958413001912046</v>
      </c>
      <c r="P18" s="209">
        <v>10.80517435320585</v>
      </c>
      <c r="Q18" s="209">
        <v>2.3673197443211396</v>
      </c>
      <c r="R18" s="209">
        <v>0</v>
      </c>
    </row>
    <row r="19" spans="1:18">
      <c r="A19" s="48" t="s">
        <v>30</v>
      </c>
      <c r="B19" s="110">
        <v>10545</v>
      </c>
      <c r="C19" s="110">
        <v>495</v>
      </c>
      <c r="D19" s="110">
        <v>4994</v>
      </c>
      <c r="E19" s="75">
        <v>88.289676425269647</v>
      </c>
      <c r="F19" s="209">
        <v>19.707105405894055</v>
      </c>
      <c r="G19" s="209">
        <v>3.5420083029621066</v>
      </c>
      <c r="H19" s="209">
        <v>90.596229723805351</v>
      </c>
      <c r="I19" s="209">
        <v>5.9487312347971271</v>
      </c>
      <c r="J19" s="209">
        <v>54.021516393442624</v>
      </c>
      <c r="K19" s="209">
        <v>6.2114746325272643</v>
      </c>
      <c r="L19" s="75">
        <v>0</v>
      </c>
      <c r="M19" s="75">
        <v>20236.695837837837</v>
      </c>
      <c r="N19" s="75">
        <v>53.130712979890319</v>
      </c>
      <c r="O19" s="209">
        <v>24.020501138952163</v>
      </c>
      <c r="P19" s="209">
        <v>8.7583056478405314</v>
      </c>
      <c r="Q19" s="209">
        <v>2.6932195353247987</v>
      </c>
      <c r="R19" s="209">
        <v>0</v>
      </c>
    </row>
    <row r="20" spans="1:18">
      <c r="A20" s="48" t="s">
        <v>15</v>
      </c>
      <c r="B20" s="110">
        <v>4277</v>
      </c>
      <c r="C20" s="110">
        <v>1414</v>
      </c>
      <c r="D20" s="110">
        <v>991</v>
      </c>
      <c r="E20" s="75">
        <v>87.155963302752298</v>
      </c>
      <c r="F20" s="209">
        <v>22.69585253456221</v>
      </c>
      <c r="G20" s="209">
        <v>3.6927506906883538</v>
      </c>
      <c r="H20" s="209">
        <v>86.152416356877325</v>
      </c>
      <c r="I20" s="209">
        <v>5.9377401998462718</v>
      </c>
      <c r="J20" s="209">
        <v>72.246621621621614</v>
      </c>
      <c r="K20" s="209">
        <v>18.915127425765725</v>
      </c>
      <c r="L20" s="75">
        <v>0</v>
      </c>
      <c r="M20" s="75">
        <v>18324.74806172551</v>
      </c>
      <c r="N20" s="75">
        <v>46.262188515709639</v>
      </c>
      <c r="O20" s="209">
        <v>18.2</v>
      </c>
      <c r="P20" s="209">
        <v>8.0394736842105257</v>
      </c>
      <c r="Q20" s="209">
        <v>1.4963759644610708</v>
      </c>
      <c r="R20" s="209">
        <v>0</v>
      </c>
    </row>
    <row r="21" spans="1:18">
      <c r="A21" s="48" t="s">
        <v>16</v>
      </c>
      <c r="B21" s="110">
        <v>2949</v>
      </c>
      <c r="C21" s="110">
        <v>2448</v>
      </c>
      <c r="D21" s="110">
        <v>0</v>
      </c>
      <c r="E21" s="75">
        <v>59.683098591549296</v>
      </c>
      <c r="F21" s="209">
        <v>26.295784381478924</v>
      </c>
      <c r="G21" s="209">
        <v>4.0712838970084659</v>
      </c>
      <c r="H21" s="209">
        <v>88.704088704088704</v>
      </c>
      <c r="I21" s="209">
        <v>6.4561686674064349</v>
      </c>
      <c r="J21" s="209">
        <v>62.478813559322035</v>
      </c>
      <c r="K21" s="209">
        <v>33.299423533401153</v>
      </c>
      <c r="L21" s="75">
        <v>0</v>
      </c>
      <c r="M21" s="75">
        <v>18998.743672431334</v>
      </c>
      <c r="N21" s="75">
        <v>38.8689407540395</v>
      </c>
      <c r="O21" s="209">
        <v>22.34090909090909</v>
      </c>
      <c r="P21" s="209">
        <v>8.1689750692520775</v>
      </c>
      <c r="Q21" s="209">
        <v>0.37300779925398442</v>
      </c>
      <c r="R21" s="209">
        <v>0</v>
      </c>
    </row>
    <row r="22" spans="1:18">
      <c r="A22" s="48" t="s">
        <v>17</v>
      </c>
      <c r="B22" s="110">
        <v>23335</v>
      </c>
      <c r="C22" s="110">
        <v>39669</v>
      </c>
      <c r="D22" s="110">
        <v>73570</v>
      </c>
      <c r="E22" s="75">
        <v>97.317031754117849</v>
      </c>
      <c r="F22" s="209">
        <v>7.0983016892045665</v>
      </c>
      <c r="G22" s="209">
        <v>6.9944815670233957</v>
      </c>
      <c r="H22" s="209">
        <v>83.689890193108667</v>
      </c>
      <c r="I22" s="209">
        <v>9.9232271533436602</v>
      </c>
      <c r="J22" s="209">
        <v>97.881711409395976</v>
      </c>
      <c r="K22" s="209">
        <v>8.0908506535247469</v>
      </c>
      <c r="L22" s="75">
        <v>0</v>
      </c>
      <c r="M22" s="75">
        <v>12314.40878508678</v>
      </c>
      <c r="N22" s="75">
        <v>72.716836734693885</v>
      </c>
      <c r="O22" s="209">
        <v>23.149801587301589</v>
      </c>
      <c r="P22" s="209">
        <v>15.064557779212395</v>
      </c>
      <c r="Q22" s="209">
        <v>5.4596100278551534</v>
      </c>
      <c r="R22" s="209">
        <v>0</v>
      </c>
    </row>
    <row r="23" spans="1:18">
      <c r="A23" s="48" t="s">
        <v>28</v>
      </c>
      <c r="B23" s="110">
        <v>5832</v>
      </c>
      <c r="C23" s="110">
        <v>571</v>
      </c>
      <c r="D23" s="110">
        <v>67</v>
      </c>
      <c r="E23" s="75">
        <v>49.959116925592809</v>
      </c>
      <c r="F23" s="209">
        <v>26.298394711992444</v>
      </c>
      <c r="G23" s="209">
        <v>2.1636487856673501</v>
      </c>
      <c r="H23" s="209">
        <v>83.668818837827573</v>
      </c>
      <c r="I23" s="209">
        <v>3.0661526256454508</v>
      </c>
      <c r="J23" s="209">
        <v>60.247933884297524</v>
      </c>
      <c r="K23" s="209">
        <v>30.74417009602195</v>
      </c>
      <c r="L23" s="75">
        <v>0</v>
      </c>
      <c r="M23" s="75">
        <v>37237.230428502917</v>
      </c>
      <c r="N23" s="75">
        <v>45.225225225225223</v>
      </c>
      <c r="O23" s="209">
        <v>14.764556962025317</v>
      </c>
      <c r="P23" s="209">
        <v>9.1554160125588702</v>
      </c>
      <c r="Q23" s="209">
        <v>6.858710562414265E-2</v>
      </c>
      <c r="R23" s="209">
        <v>0</v>
      </c>
    </row>
    <row r="24" spans="1:18">
      <c r="A24" s="48" t="s">
        <v>18</v>
      </c>
      <c r="B24" s="110">
        <v>7616</v>
      </c>
      <c r="C24" s="110">
        <v>381</v>
      </c>
      <c r="D24" s="110">
        <v>1369</v>
      </c>
      <c r="E24" s="75">
        <v>86.909650924024646</v>
      </c>
      <c r="F24" s="209">
        <v>10.233319688907084</v>
      </c>
      <c r="G24" s="209">
        <v>1.8686027459792569</v>
      </c>
      <c r="H24" s="209">
        <v>85.204375359815771</v>
      </c>
      <c r="I24" s="209">
        <v>2.6574255292406588</v>
      </c>
      <c r="J24" s="209">
        <v>62.222222222222221</v>
      </c>
      <c r="K24" s="209">
        <v>3.3482142857142856</v>
      </c>
      <c r="L24" s="75">
        <v>0</v>
      </c>
      <c r="M24" s="75">
        <v>22049.218882615543</v>
      </c>
      <c r="N24" s="75">
        <v>67.126269956458643</v>
      </c>
      <c r="O24" s="209">
        <v>19.52820512820513</v>
      </c>
      <c r="P24" s="209">
        <v>7.5781094527363182</v>
      </c>
      <c r="Q24" s="209">
        <v>2.6654411764705883</v>
      </c>
      <c r="R24" s="209">
        <v>0</v>
      </c>
    </row>
    <row r="25" spans="1:18">
      <c r="A25" s="48" t="s">
        <v>29</v>
      </c>
      <c r="B25" s="110">
        <v>3548</v>
      </c>
      <c r="C25" s="110">
        <v>205</v>
      </c>
      <c r="D25" s="110">
        <v>10</v>
      </c>
      <c r="E25" s="75">
        <v>97.961494903737261</v>
      </c>
      <c r="F25" s="209">
        <v>23.757852655625356</v>
      </c>
      <c r="G25" s="209">
        <v>2.7093800261984118</v>
      </c>
      <c r="H25" s="209">
        <v>69.423993070593326</v>
      </c>
      <c r="I25" s="209">
        <v>4.3236682400539443</v>
      </c>
      <c r="J25" s="209">
        <v>65.220588235294116</v>
      </c>
      <c r="K25" s="209">
        <v>22.1815107102593</v>
      </c>
      <c r="L25" s="75">
        <v>0</v>
      </c>
      <c r="M25" s="75">
        <v>19341.840191657273</v>
      </c>
      <c r="N25" s="75">
        <v>51.376811594202898</v>
      </c>
      <c r="O25" s="209">
        <v>15.293103448275861</v>
      </c>
      <c r="P25" s="209">
        <v>7.9020044543429844</v>
      </c>
      <c r="Q25" s="209">
        <v>1.1555806087936866</v>
      </c>
      <c r="R25" s="209">
        <v>0</v>
      </c>
    </row>
    <row r="26" spans="1:18">
      <c r="A26" s="48" t="s">
        <v>19</v>
      </c>
      <c r="B26" s="110">
        <v>9384</v>
      </c>
      <c r="C26" s="110">
        <v>6838</v>
      </c>
      <c r="D26" s="110">
        <v>119</v>
      </c>
      <c r="E26" s="75">
        <v>89.404274670304687</v>
      </c>
      <c r="F26" s="209">
        <v>7.9090803664617848</v>
      </c>
      <c r="G26" s="209">
        <v>9.3755575379125773</v>
      </c>
      <c r="H26" s="209">
        <v>94.848403541722575</v>
      </c>
      <c r="I26" s="209">
        <v>12.550592913441738</v>
      </c>
      <c r="J26" s="209">
        <v>103.80530973451327</v>
      </c>
      <c r="K26" s="209">
        <v>11.977834612105712</v>
      </c>
      <c r="L26" s="75">
        <v>0</v>
      </c>
      <c r="M26" s="75">
        <v>11452.21719629156</v>
      </c>
      <c r="N26" s="75">
        <v>65.371137304874168</v>
      </c>
      <c r="O26" s="209">
        <v>23.113300492610836</v>
      </c>
      <c r="P26" s="209">
        <v>12.171206225680933</v>
      </c>
      <c r="Q26" s="209">
        <v>0.67135549872122768</v>
      </c>
      <c r="R26" s="209">
        <v>0</v>
      </c>
    </row>
    <row r="27" spans="1:18">
      <c r="A27" s="48" t="s">
        <v>20</v>
      </c>
      <c r="B27" s="110">
        <v>4786</v>
      </c>
      <c r="C27" s="110">
        <v>1169</v>
      </c>
      <c r="D27" s="110">
        <v>153</v>
      </c>
      <c r="E27" s="75">
        <v>95.886716115981116</v>
      </c>
      <c r="F27" s="209">
        <v>14.641809803100125</v>
      </c>
      <c r="G27" s="209">
        <v>2.7718221617388403</v>
      </c>
      <c r="H27" s="209">
        <v>88.260661236224252</v>
      </c>
      <c r="I27" s="209">
        <v>3.9215686274509802</v>
      </c>
      <c r="J27" s="209">
        <v>61.045918367346943</v>
      </c>
      <c r="K27" s="209">
        <v>23.547847889678227</v>
      </c>
      <c r="L27" s="75">
        <v>0</v>
      </c>
      <c r="M27" s="75">
        <v>19890.714788967824</v>
      </c>
      <c r="N27" s="75">
        <v>56.943005181347154</v>
      </c>
      <c r="O27" s="209">
        <v>20.452991452991451</v>
      </c>
      <c r="P27" s="209">
        <v>11.208430913348947</v>
      </c>
      <c r="Q27" s="209">
        <v>4.0325950689511076</v>
      </c>
      <c r="R27" s="209">
        <v>0</v>
      </c>
    </row>
    <row r="28" spans="1:18">
      <c r="A28" s="48" t="s">
        <v>21</v>
      </c>
      <c r="B28" s="110">
        <v>7922</v>
      </c>
      <c r="C28" s="110">
        <v>190</v>
      </c>
      <c r="D28" s="110">
        <v>0</v>
      </c>
      <c r="E28" s="75">
        <v>99.717514124293785</v>
      </c>
      <c r="F28" s="209">
        <v>13.868523949169109</v>
      </c>
      <c r="G28" s="209">
        <v>4.3288134569504422</v>
      </c>
      <c r="H28" s="209">
        <v>93.460925039872407</v>
      </c>
      <c r="I28" s="209">
        <v>6.0681371026198612</v>
      </c>
      <c r="J28" s="209">
        <v>41.959745762711862</v>
      </c>
      <c r="K28" s="209">
        <v>19.982327695026509</v>
      </c>
      <c r="L28" s="75">
        <v>0</v>
      </c>
      <c r="M28" s="75">
        <v>37763.753218884121</v>
      </c>
      <c r="N28" s="75">
        <v>58.138155944263268</v>
      </c>
      <c r="O28" s="209">
        <v>16.435684647302903</v>
      </c>
      <c r="P28" s="209">
        <v>7.0922112802148609</v>
      </c>
      <c r="Q28" s="209">
        <v>3.1052764453420854</v>
      </c>
      <c r="R28" s="209">
        <v>0</v>
      </c>
    </row>
    <row r="29" spans="1:18">
      <c r="A29" s="48" t="s">
        <v>22</v>
      </c>
      <c r="B29" s="110">
        <v>15407</v>
      </c>
      <c r="C29" s="110">
        <v>943</v>
      </c>
      <c r="D29" s="110">
        <v>11</v>
      </c>
      <c r="E29" s="75">
        <v>59.503065505001615</v>
      </c>
      <c r="F29" s="209">
        <v>16.797153024911026</v>
      </c>
      <c r="G29" s="209">
        <v>8.6199921579854735</v>
      </c>
      <c r="H29" s="209">
        <v>99.557913351016808</v>
      </c>
      <c r="I29" s="209">
        <v>11.614713345573826</v>
      </c>
      <c r="J29" s="209">
        <v>72.401315789473685</v>
      </c>
      <c r="K29" s="209">
        <v>27.357694554423311</v>
      </c>
      <c r="L29" s="75">
        <v>0</v>
      </c>
      <c r="M29" s="75">
        <v>16115.680650353735</v>
      </c>
      <c r="N29" s="75">
        <v>48.973063973063972</v>
      </c>
      <c r="O29" s="209">
        <v>27.911231884057973</v>
      </c>
      <c r="P29" s="209">
        <v>17.977829638273047</v>
      </c>
      <c r="Q29" s="209">
        <v>0.64256506782631273</v>
      </c>
      <c r="R29" s="209">
        <v>0</v>
      </c>
    </row>
    <row r="30" spans="1:18">
      <c r="A30" s="48" t="s">
        <v>23</v>
      </c>
      <c r="B30" s="110">
        <v>5431</v>
      </c>
      <c r="C30" s="110">
        <v>27</v>
      </c>
      <c r="D30" s="110">
        <v>53</v>
      </c>
      <c r="E30" s="75">
        <v>98.318762609280427</v>
      </c>
      <c r="F30" s="209">
        <v>8.6633663366336595</v>
      </c>
      <c r="G30" s="209">
        <v>3.6917352860520447</v>
      </c>
      <c r="H30" s="209">
        <v>99.950956351152527</v>
      </c>
      <c r="I30" s="209">
        <v>4.6588181506457884</v>
      </c>
      <c r="J30" s="209">
        <v>75.430555555555557</v>
      </c>
      <c r="K30" s="209">
        <v>5.3028908120051561</v>
      </c>
      <c r="L30" s="75">
        <v>0</v>
      </c>
      <c r="M30" s="75">
        <v>23070.991217087092</v>
      </c>
      <c r="N30" s="75">
        <v>65.76139670223084</v>
      </c>
      <c r="O30" s="209">
        <v>18.410169491525423</v>
      </c>
      <c r="P30" s="209">
        <v>11.221074380165289</v>
      </c>
      <c r="Q30" s="209">
        <v>0.34984349106978457</v>
      </c>
      <c r="R30" s="209">
        <v>0</v>
      </c>
    </row>
    <row r="31" spans="1:18">
      <c r="A31" s="48" t="s">
        <v>24</v>
      </c>
      <c r="B31" s="110">
        <v>6916</v>
      </c>
      <c r="C31" s="110">
        <v>2941</v>
      </c>
      <c r="D31" s="110">
        <v>47</v>
      </c>
      <c r="E31" s="75">
        <v>99.684873949579838</v>
      </c>
      <c r="F31" s="209">
        <v>18.086086613136764</v>
      </c>
      <c r="G31" s="209">
        <v>3.4042598305821485</v>
      </c>
      <c r="H31" s="209">
        <v>92.908827785817664</v>
      </c>
      <c r="I31" s="209">
        <v>4.6068564662827622</v>
      </c>
      <c r="J31" s="209">
        <v>52.713414634146339</v>
      </c>
      <c r="K31" s="209">
        <v>12.275882012724118</v>
      </c>
      <c r="L31" s="75">
        <v>0</v>
      </c>
      <c r="M31" s="75">
        <v>27543.509840948525</v>
      </c>
      <c r="N31" s="75">
        <v>55.922086082312283</v>
      </c>
      <c r="O31" s="209">
        <v>18.793478260869566</v>
      </c>
      <c r="P31" s="209">
        <v>6.4215413184772512</v>
      </c>
      <c r="Q31" s="209">
        <v>1.3880855986119145</v>
      </c>
      <c r="R31" s="209">
        <v>0</v>
      </c>
    </row>
    <row r="32" spans="1:18">
      <c r="A32" s="48" t="s">
        <v>25</v>
      </c>
      <c r="B32" s="110">
        <v>3146</v>
      </c>
      <c r="C32" s="110">
        <v>0</v>
      </c>
      <c r="D32" s="110">
        <v>0</v>
      </c>
      <c r="E32" s="75">
        <v>95.906432748538009</v>
      </c>
      <c r="F32" s="209">
        <v>11.481597986788294</v>
      </c>
      <c r="G32" s="209">
        <v>3.9436431623931623</v>
      </c>
      <c r="H32" s="209">
        <v>92.951907131011609</v>
      </c>
      <c r="I32" s="209">
        <v>4.6263051463001945</v>
      </c>
      <c r="J32" s="209">
        <v>80.255102040816325</v>
      </c>
      <c r="K32" s="209">
        <v>10.425937698664971</v>
      </c>
      <c r="L32" s="75">
        <v>0</v>
      </c>
      <c r="M32" s="75">
        <v>15508.050222504768</v>
      </c>
      <c r="N32" s="75">
        <v>65.384615384615387</v>
      </c>
      <c r="O32" s="209">
        <v>17.477777777777778</v>
      </c>
      <c r="P32" s="209">
        <v>6.9142857142857146</v>
      </c>
      <c r="Q32" s="209">
        <v>4.0050858232676418</v>
      </c>
      <c r="R32" s="209">
        <v>0</v>
      </c>
    </row>
    <row r="33" spans="1:18">
      <c r="A33" s="48" t="s">
        <v>53</v>
      </c>
      <c r="B33" s="110">
        <v>11461</v>
      </c>
      <c r="C33" s="110">
        <v>4605</v>
      </c>
      <c r="D33" s="110">
        <v>424</v>
      </c>
      <c r="E33" s="75">
        <v>92.62751821688812</v>
      </c>
      <c r="F33" s="209">
        <v>7.765957446808514</v>
      </c>
      <c r="G33" s="209">
        <v>2.4571313667345418</v>
      </c>
      <c r="H33" s="209">
        <v>83.81260712245286</v>
      </c>
      <c r="I33" s="209">
        <v>3.6690593502238453</v>
      </c>
      <c r="J33" s="209">
        <v>83.292151162790702</v>
      </c>
      <c r="K33" s="209">
        <v>10.513916761190123</v>
      </c>
      <c r="L33" s="75">
        <v>0</v>
      </c>
      <c r="M33" s="75">
        <v>22970.058022860136</v>
      </c>
      <c r="N33" s="75">
        <v>74.16895394937481</v>
      </c>
      <c r="O33" s="209">
        <v>20.28495575221239</v>
      </c>
      <c r="P33" s="209">
        <v>7.4277381723914448</v>
      </c>
      <c r="Q33" s="209">
        <v>0.27048250588953843</v>
      </c>
      <c r="R33" s="209">
        <v>0</v>
      </c>
    </row>
    <row r="34" spans="1:18">
      <c r="A34" s="48" t="s">
        <v>26</v>
      </c>
      <c r="B34" s="110">
        <v>5289</v>
      </c>
      <c r="C34" s="110">
        <v>4243</v>
      </c>
      <c r="D34" s="110">
        <v>812</v>
      </c>
      <c r="E34" s="75">
        <v>80.875202593192881</v>
      </c>
      <c r="F34" s="209">
        <v>20.91902909023532</v>
      </c>
      <c r="G34" s="209">
        <v>3.7410537170221878</v>
      </c>
      <c r="H34" s="209">
        <v>91.467889908256879</v>
      </c>
      <c r="I34" s="209">
        <v>5.7373039850381238</v>
      </c>
      <c r="J34" s="209">
        <v>95.815217391304358</v>
      </c>
      <c r="K34" s="209">
        <v>29.476271506901114</v>
      </c>
      <c r="L34" s="75">
        <v>0</v>
      </c>
      <c r="M34" s="75">
        <v>23714.19398752127</v>
      </c>
      <c r="N34" s="75">
        <v>48.511749347258487</v>
      </c>
      <c r="O34" s="209">
        <v>20.03409090909091</v>
      </c>
      <c r="P34" s="209">
        <v>10.927685950413224</v>
      </c>
      <c r="Q34" s="209">
        <v>3.8759689922480618</v>
      </c>
      <c r="R34" s="209">
        <v>0</v>
      </c>
    </row>
    <row r="35" spans="1:18">
      <c r="A35" s="48" t="s">
        <v>27</v>
      </c>
      <c r="B35" s="110">
        <v>1419</v>
      </c>
      <c r="C35" s="110">
        <v>452</v>
      </c>
      <c r="D35" s="110">
        <v>0</v>
      </c>
      <c r="E35" s="75">
        <v>97.931034482758619</v>
      </c>
      <c r="F35" s="209">
        <v>22.865853658536583</v>
      </c>
      <c r="G35" s="209">
        <v>1.2762358729914662</v>
      </c>
      <c r="H35" s="209">
        <v>91.237830319888729</v>
      </c>
      <c r="I35" s="209">
        <v>2.4157613699134597</v>
      </c>
      <c r="J35" s="209">
        <v>29.562500000000004</v>
      </c>
      <c r="K35" s="209">
        <v>28.400281888653982</v>
      </c>
      <c r="L35" s="75">
        <v>0</v>
      </c>
      <c r="M35" s="75">
        <v>36966.57293868922</v>
      </c>
      <c r="N35" s="75">
        <v>36.025848142164776</v>
      </c>
      <c r="O35" s="209">
        <v>17.962025316455698</v>
      </c>
      <c r="P35" s="209">
        <v>7.2030456852791875</v>
      </c>
      <c r="Q35" s="209">
        <v>9.0909090909090917</v>
      </c>
      <c r="R35" s="209">
        <v>0</v>
      </c>
    </row>
    <row r="36" spans="1:18">
      <c r="A36" s="48" t="s">
        <v>37</v>
      </c>
      <c r="B36" s="107">
        <v>309717</v>
      </c>
      <c r="C36" s="107">
        <v>118956</v>
      </c>
      <c r="D36" s="107">
        <v>89286</v>
      </c>
      <c r="E36" s="75">
        <v>81.468016114768588</v>
      </c>
      <c r="F36" s="209">
        <v>14.848337789995147</v>
      </c>
      <c r="G36" s="209">
        <v>4.0729883835106735</v>
      </c>
      <c r="H36" s="209">
        <v>88.471603313694416</v>
      </c>
      <c r="I36" s="209">
        <v>5.8313559384679063</v>
      </c>
      <c r="J36" s="209">
        <v>73.046462264150946</v>
      </c>
      <c r="K36" s="209">
        <v>14.490325038664329</v>
      </c>
      <c r="L36" s="75">
        <v>0</v>
      </c>
      <c r="M36" s="75">
        <v>19454.776944934762</v>
      </c>
      <c r="N36" s="75">
        <v>55.71442939519914</v>
      </c>
      <c r="O36" s="209">
        <v>20.419106012658229</v>
      </c>
      <c r="P36" s="209">
        <v>9.7208813282696713</v>
      </c>
      <c r="Q36" s="209">
        <v>1.9934327143811932</v>
      </c>
      <c r="R36" s="209">
        <v>0</v>
      </c>
    </row>
    <row r="37" spans="1:18" ht="15">
      <c r="A37" s="3"/>
      <c r="B37" s="3"/>
      <c r="C37" s="3"/>
      <c r="D37" s="3"/>
      <c r="E37" s="3"/>
      <c r="F37" s="3"/>
      <c r="G37" s="3"/>
      <c r="H37" s="3"/>
      <c r="I37" s="3"/>
      <c r="J37" s="3"/>
      <c r="K37" s="3"/>
      <c r="L37" s="3"/>
      <c r="M37" s="3"/>
      <c r="N37" s="3"/>
      <c r="O37" s="3"/>
      <c r="P37" s="3"/>
      <c r="Q37" s="3"/>
      <c r="R37" s="3"/>
    </row>
    <row r="38" spans="1:18" ht="15" customHeight="1">
      <c r="A38" s="3"/>
      <c r="B38" s="3"/>
      <c r="C38" s="3"/>
      <c r="D38" s="3"/>
      <c r="E38" s="3"/>
      <c r="F38" s="3"/>
      <c r="G38" s="3"/>
      <c r="H38" s="3"/>
      <c r="I38" s="3"/>
      <c r="J38" s="3"/>
      <c r="K38" s="3"/>
      <c r="L38" s="3"/>
      <c r="M38" s="3"/>
      <c r="N38" s="3"/>
      <c r="O38" s="3"/>
      <c r="P38" s="3"/>
      <c r="Q38" s="3"/>
      <c r="R38" s="3"/>
    </row>
    <row r="39" spans="1:18" ht="13.5" customHeight="1">
      <c r="A39" s="3"/>
      <c r="B39" s="3"/>
      <c r="C39" s="3"/>
      <c r="D39" s="3"/>
      <c r="E39" s="3"/>
      <c r="F39" s="3"/>
      <c r="G39" s="3"/>
      <c r="H39" s="3"/>
      <c r="I39" s="3"/>
    </row>
    <row r="40" spans="1:18" ht="13.5" customHeight="1">
      <c r="A40" s="3"/>
      <c r="B40" s="3"/>
      <c r="C40" s="3"/>
      <c r="D40" s="3"/>
      <c r="E40" s="3"/>
      <c r="F40" s="3"/>
      <c r="G40" s="3"/>
      <c r="H40" s="3"/>
      <c r="I40" s="3"/>
    </row>
    <row r="41" spans="1:18" ht="21" customHeight="1">
      <c r="A41" s="3"/>
      <c r="B41" s="3"/>
      <c r="C41" s="3"/>
      <c r="D41" s="3"/>
      <c r="E41" s="3"/>
      <c r="F41" s="3"/>
      <c r="G41" s="3"/>
      <c r="H41" s="3"/>
      <c r="I41" s="3"/>
    </row>
    <row r="42" spans="1:18" ht="6" customHeight="1"/>
    <row r="43" spans="1:18" ht="24" customHeight="1">
      <c r="A43" s="174" t="s">
        <v>155</v>
      </c>
      <c r="B43" s="175"/>
      <c r="C43" s="175"/>
      <c r="D43" s="175"/>
      <c r="E43" s="175"/>
      <c r="F43" s="175"/>
      <c r="G43" s="175"/>
      <c r="H43" s="175"/>
    </row>
  </sheetData>
  <pageMargins left="0.51181102362204722" right="0.51181102362204722" top="0.55118110236220474" bottom="0.55118110236220474" header="0.31496062992125984" footer="0.31496062992125984"/>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56"/>
  <sheetViews>
    <sheetView showGridLines="0" view="pageBreakPreview" topLeftCell="A11" zoomScale="115" zoomScaleNormal="120" zoomScaleSheetLayoutView="115" workbookViewId="0">
      <selection activeCell="L39" sqref="L39"/>
    </sheetView>
  </sheetViews>
  <sheetFormatPr baseColWidth="10" defaultColWidth="11.42578125" defaultRowHeight="13.5"/>
  <cols>
    <col min="1" max="1" width="23.5703125" style="48" customWidth="1"/>
    <col min="2" max="8" width="9.5703125" style="48" customWidth="1"/>
    <col min="9" max="9" width="11.5703125" style="48" bestFit="1" customWidth="1"/>
    <col min="10" max="10" width="15.140625" style="48" bestFit="1"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H1" s="64" t="s">
        <v>48</v>
      </c>
    </row>
    <row r="2" spans="1:11" s="3" customFormat="1" ht="15" customHeight="1">
      <c r="B2" s="1"/>
      <c r="C2" s="1"/>
      <c r="D2" s="1"/>
      <c r="E2" s="1"/>
      <c r="H2" s="6" t="s">
        <v>42</v>
      </c>
    </row>
    <row r="3" spans="1:11" s="3" customFormat="1" ht="15" customHeight="1">
      <c r="B3" s="1"/>
      <c r="C3" s="1"/>
      <c r="D3" s="1"/>
      <c r="E3" s="1"/>
      <c r="F3" s="1"/>
    </row>
    <row r="4" spans="1:11" s="3" customFormat="1" ht="6.75" customHeight="1">
      <c r="B4" s="1"/>
      <c r="C4" s="1"/>
      <c r="D4" s="1"/>
      <c r="E4" s="1"/>
      <c r="F4" s="1"/>
    </row>
    <row r="5" spans="1:11" s="3" customFormat="1" ht="15" customHeight="1">
      <c r="A5" s="367" t="s">
        <v>273</v>
      </c>
      <c r="B5" s="367"/>
      <c r="C5" s="367"/>
      <c r="D5" s="367"/>
      <c r="E5" s="367"/>
      <c r="F5" s="367"/>
      <c r="G5" s="367"/>
      <c r="H5" s="367"/>
    </row>
    <row r="6" spans="1:11" s="3" customFormat="1" ht="8.1" customHeight="1">
      <c r="A6" s="122"/>
      <c r="B6" s="63"/>
      <c r="C6" s="65"/>
      <c r="D6" s="65"/>
      <c r="E6" s="66"/>
      <c r="F6" s="66"/>
    </row>
    <row r="7" spans="1:11" s="68" customFormat="1" ht="15" customHeight="1">
      <c r="A7" s="76" t="s">
        <v>45</v>
      </c>
      <c r="B7" s="76" t="s">
        <v>0</v>
      </c>
      <c r="C7" s="67"/>
      <c r="D7" s="67"/>
      <c r="E7" s="63"/>
      <c r="F7" s="63"/>
    </row>
    <row r="8" spans="1:11" s="68" customFormat="1" ht="15" customHeight="1">
      <c r="A8" s="77">
        <v>2018</v>
      </c>
      <c r="B8" s="96">
        <f>$B$54</f>
        <v>84.02268009922544</v>
      </c>
      <c r="C8" s="69"/>
      <c r="D8" s="67"/>
      <c r="E8" s="63"/>
      <c r="F8" s="63"/>
    </row>
    <row r="9" spans="1:11" s="68" customFormat="1" ht="15" customHeight="1">
      <c r="A9" s="77">
        <v>2019</v>
      </c>
      <c r="B9" s="96">
        <f>$C$54</f>
        <v>84.709180098107922</v>
      </c>
      <c r="C9" s="67"/>
      <c r="D9" s="67"/>
      <c r="E9" s="63"/>
      <c r="F9" s="63"/>
    </row>
    <row r="10" spans="1:11" s="68" customFormat="1" ht="15" customHeight="1">
      <c r="A10" s="77">
        <v>2020</v>
      </c>
      <c r="B10" s="96">
        <f>$D$54</f>
        <v>83.143353656740587</v>
      </c>
      <c r="C10" s="67"/>
      <c r="D10" s="67"/>
      <c r="E10" s="63"/>
      <c r="F10" s="63"/>
    </row>
    <row r="11" spans="1:11" s="68" customFormat="1" ht="15" customHeight="1">
      <c r="A11" s="77">
        <v>2021</v>
      </c>
      <c r="B11" s="96">
        <f>$E$54</f>
        <v>81.468016114768588</v>
      </c>
      <c r="C11" s="67"/>
      <c r="D11" s="67"/>
      <c r="E11" s="63"/>
      <c r="F11" s="63"/>
    </row>
    <row r="12" spans="1:11" s="68" customFormat="1" ht="15" customHeight="1">
      <c r="A12" s="77">
        <v>2022</v>
      </c>
      <c r="B12" s="96">
        <f>$F$54</f>
        <v>80.885759845954809</v>
      </c>
      <c r="C12" s="67"/>
      <c r="D12" s="67"/>
      <c r="E12" s="63"/>
      <c r="F12" s="63"/>
    </row>
    <row r="13" spans="1:11" s="68" customFormat="1" ht="15" customHeight="1">
      <c r="A13" s="79" t="s">
        <v>314</v>
      </c>
      <c r="B13" s="96">
        <f>B12-B11</f>
        <v>-0.58225626881377934</v>
      </c>
      <c r="C13" s="67"/>
      <c r="D13" s="67"/>
      <c r="E13" s="63"/>
      <c r="F13" s="63"/>
    </row>
    <row r="14" spans="1:11" s="3" customFormat="1" ht="18.75">
      <c r="A14" s="71"/>
      <c r="B14" s="365"/>
      <c r="C14" s="365"/>
      <c r="D14" s="365"/>
      <c r="E14" s="366"/>
      <c r="F14" s="366"/>
    </row>
    <row r="15" spans="1:11" hidden="1">
      <c r="A15" s="83" t="s">
        <v>175</v>
      </c>
      <c r="B15" s="47" t="s">
        <v>45</v>
      </c>
      <c r="G15" s="311"/>
      <c r="H15" s="311"/>
      <c r="I15" s="2"/>
      <c r="J15" s="2"/>
      <c r="K15" s="2"/>
    </row>
    <row r="16" spans="1:11" ht="27">
      <c r="A16" s="47" t="s">
        <v>156</v>
      </c>
      <c r="B16" s="48">
        <v>2018</v>
      </c>
      <c r="C16" s="48">
        <v>2019</v>
      </c>
      <c r="D16" s="48">
        <v>2020</v>
      </c>
      <c r="E16" s="48">
        <v>2021</v>
      </c>
      <c r="F16" s="48">
        <v>2022</v>
      </c>
      <c r="G16" s="313" t="s">
        <v>331</v>
      </c>
      <c r="H16" s="313" t="s">
        <v>332</v>
      </c>
      <c r="I16" s="2"/>
      <c r="J16" s="2"/>
      <c r="K16" s="2"/>
    </row>
    <row r="17" spans="1:11">
      <c r="A17" s="49" t="s">
        <v>49</v>
      </c>
      <c r="B17" s="75">
        <v>86.969667222931193</v>
      </c>
      <c r="C17" s="75">
        <v>87.819707643857058</v>
      </c>
      <c r="D17" s="75">
        <v>85.954203679391668</v>
      </c>
      <c r="E17" s="75">
        <v>86.001937671564662</v>
      </c>
      <c r="F17" s="75">
        <v>85.961782989545071</v>
      </c>
      <c r="G17" s="314">
        <f>GETPIVOTDATA("TIT",$A$15,"sost","Estatal","Año",2022)-GETPIVOTDATA("TIT",$A$15,"sost","Estatal","Año",2021)</f>
        <v>-4.0154682019590382E-2</v>
      </c>
      <c r="H17" s="314">
        <f>GETPIVOTDATA("TIT",$A$15,"sost","Estatal","Año",2022)-GETPIVOTDATA("TIT",$A$15,"sost","Estatal","Año",2018)</f>
        <v>-1.0078842333861218</v>
      </c>
      <c r="I17" s="2"/>
      <c r="J17" s="2"/>
      <c r="K17" s="2"/>
    </row>
    <row r="18" spans="1:11">
      <c r="A18" s="51" t="s">
        <v>1</v>
      </c>
      <c r="B18" s="75">
        <v>89.112227805695142</v>
      </c>
      <c r="C18" s="75">
        <v>91.588785046728972</v>
      </c>
      <c r="D18" s="75">
        <v>90.008920606601251</v>
      </c>
      <c r="E18" s="75">
        <v>93.064667291471409</v>
      </c>
      <c r="F18" s="75">
        <v>95.756991321118619</v>
      </c>
      <c r="G18" s="327">
        <f>GETPIVOTDATA("TIT",$A$15,"sost","Estatal","entidad","Aguascalientes","Año",2022)-GETPIVOTDATA("TIT",$A$15,"sost","Estatal","entidad","Aguascalientes","Año",2021)</f>
        <v>2.6923240296472102</v>
      </c>
      <c r="H18" s="327">
        <f>GETPIVOTDATA("TIT",$A$15,"sost","Estatal","entidad","Aguascalientes","Año",2022)-GETPIVOTDATA("TIT",$A$15,"sost","Estatal","entidad","Aguascalientes","Año",2018)</f>
        <v>6.6447635154234774</v>
      </c>
      <c r="I18" s="2"/>
      <c r="J18" s="2"/>
      <c r="K18" s="2"/>
    </row>
    <row r="19" spans="1:11">
      <c r="A19" s="51" t="s">
        <v>3</v>
      </c>
      <c r="B19" s="75">
        <v>83.847980997624703</v>
      </c>
      <c r="C19" s="75">
        <v>92.776203966005667</v>
      </c>
      <c r="D19" s="75">
        <v>89.701401584399747</v>
      </c>
      <c r="E19" s="75">
        <v>91.595092024539881</v>
      </c>
      <c r="F19" s="75">
        <v>93.73825923606762</v>
      </c>
      <c r="G19" s="326">
        <f>GETPIVOTDATA("TIT",$A$15,"sost","Estatal","entidad","Baja California","Año",2022)-GETPIVOTDATA("TIT",$A$15,"sost","Estatal","entidad","Baja California","Año",2021)</f>
        <v>2.1431672115277394</v>
      </c>
      <c r="H19" s="326">
        <f>GETPIVOTDATA("TIT",$A$15,"sost","Estatal","entidad","Baja California","Año",2022)-GETPIVOTDATA("TIT",$A$15,"sost","Estatal","entidad","Baja California","Año",2018)</f>
        <v>9.8902782384429173</v>
      </c>
      <c r="I19" s="2"/>
      <c r="J19" s="2"/>
      <c r="K19" s="2"/>
    </row>
    <row r="20" spans="1:11">
      <c r="A20" s="51" t="s">
        <v>4</v>
      </c>
      <c r="B20" s="75">
        <v>97.443181818181827</v>
      </c>
      <c r="C20" s="75">
        <v>96.511627906976756</v>
      </c>
      <c r="D20" s="75">
        <v>97.291196388261852</v>
      </c>
      <c r="E20" s="75">
        <v>99.693251533742327</v>
      </c>
      <c r="F20" s="75">
        <v>98.097826086956516</v>
      </c>
      <c r="G20" s="327">
        <f>GETPIVOTDATA("TIT",$A$15,"sost","Estatal","entidad","Baja California Sur","Año",2022)-GETPIVOTDATA("TIT",$A$15,"sost","Estatal","entidad","Baja California Sur","Año",2021)</f>
        <v>-1.5954254467858107</v>
      </c>
      <c r="H20" s="327">
        <f>GETPIVOTDATA("TIT",$A$15,"sost","Estatal","entidad","Baja California Sur","Año",2022)-GETPIVOTDATA("TIT",$A$15,"sost","Estatal","entidad","Baja California Sur","Año",2018)</f>
        <v>0.65464426877468895</v>
      </c>
      <c r="I20" s="2"/>
      <c r="J20" s="2"/>
      <c r="K20" s="2"/>
    </row>
    <row r="21" spans="1:11">
      <c r="A21" s="51" t="s">
        <v>5</v>
      </c>
      <c r="B21" s="75">
        <v>95.114942528735639</v>
      </c>
      <c r="C21" s="75">
        <v>92.21902017291066</v>
      </c>
      <c r="D21" s="75">
        <v>89.325842696629209</v>
      </c>
      <c r="E21" s="75">
        <v>80</v>
      </c>
      <c r="F21" s="75">
        <v>86.997635933806151</v>
      </c>
      <c r="G21" s="326">
        <f>GETPIVOTDATA("TIT",$A$15,"sost","Estatal","entidad","Campeche","Año",2022)-GETPIVOTDATA("TIT",$A$15,"sost","Estatal","entidad","Campeche","Año",2021)</f>
        <v>6.9976359338061513</v>
      </c>
      <c r="H21" s="326">
        <f>GETPIVOTDATA("TIT",$A$15,"sost","Estatal","entidad","Campeche","Año",2022)-GETPIVOTDATA("TIT",$A$15,"sost","Estatal","entidad","Campeche","Año",2018)</f>
        <v>-8.117306594929488</v>
      </c>
      <c r="I21" s="2"/>
      <c r="J21" s="2"/>
      <c r="K21" s="2"/>
    </row>
    <row r="22" spans="1:11">
      <c r="A22" s="51" t="s">
        <v>6</v>
      </c>
      <c r="B22" s="75">
        <v>87.297783103654879</v>
      </c>
      <c r="C22" s="75">
        <v>84.826427771556553</v>
      </c>
      <c r="D22" s="75">
        <v>81.404720782959131</v>
      </c>
      <c r="E22" s="75">
        <v>76.988155668358715</v>
      </c>
      <c r="F22" s="75">
        <v>80.366161616161619</v>
      </c>
      <c r="G22" s="327">
        <f>GETPIVOTDATA("TIT",$A$15,"sost","Estatal","entidad","Chiapas","Año",2022)-GETPIVOTDATA("TIT",$A$15,"sost","Estatal","entidad","Chiapas","Año",2021)</f>
        <v>3.3780059478029045</v>
      </c>
      <c r="H22" s="327">
        <f>GETPIVOTDATA("TIT",$A$15,"sost","Estatal","entidad","Chiapas","Año",2022)-GETPIVOTDATA("TIT",$A$15,"sost","Estatal","entidad","Chiapas","Año",2018)</f>
        <v>-6.9316214874932598</v>
      </c>
      <c r="I22" s="2"/>
      <c r="J22" s="2"/>
      <c r="K22" s="2"/>
    </row>
    <row r="23" spans="1:11">
      <c r="A23" s="51" t="s">
        <v>7</v>
      </c>
      <c r="B23" s="75">
        <v>88.629903354178509</v>
      </c>
      <c r="C23" s="75">
        <v>92.957746478873233</v>
      </c>
      <c r="D23" s="75">
        <v>94.636871508379883</v>
      </c>
      <c r="E23" s="75">
        <v>91.190108191653792</v>
      </c>
      <c r="F23" s="75">
        <v>92.808850645359556</v>
      </c>
      <c r="G23" s="326">
        <f>GETPIVOTDATA("TIT",$A$15,"sost","Estatal","entidad","Chihuahua","Año",2022)-GETPIVOTDATA("TIT",$A$15,"sost","Estatal","entidad","Chihuahua","Año",2021)</f>
        <v>1.6187424537057638</v>
      </c>
      <c r="H23" s="326">
        <f>GETPIVOTDATA("TIT",$A$15,"sost","Estatal","entidad","Chihuahua","Año",2022)-GETPIVOTDATA("TIT",$A$15,"sost","Estatal","entidad","Chihuahua","Año",2018)</f>
        <v>4.1789472911810464</v>
      </c>
      <c r="I23" s="2"/>
      <c r="J23" s="2"/>
      <c r="K23" s="2"/>
    </row>
    <row r="24" spans="1:11">
      <c r="A24" s="51" t="s">
        <v>31</v>
      </c>
      <c r="B24" s="75">
        <v>99.706170421155733</v>
      </c>
      <c r="C24" s="75">
        <v>99.839999999999989</v>
      </c>
      <c r="D24" s="75">
        <v>99.916631929970819</v>
      </c>
      <c r="E24" s="75">
        <v>99.936948297604033</v>
      </c>
      <c r="F24" s="75">
        <v>99.929676511954995</v>
      </c>
      <c r="G24" s="327">
        <f>GETPIVOTDATA("TIT",$A$15,"sost","Estatal","entidad","Coahuila de Zaragoza","Año",2022)-GETPIVOTDATA("TIT",$A$15,"sost","Estatal","entidad","Coahuila de Zaragoza","Año",2021)</f>
        <v>-7.2717856490385202E-3</v>
      </c>
      <c r="H24" s="327">
        <f>GETPIVOTDATA("TIT",$A$15,"sost","Estatal","entidad","Coahuila de Zaragoza","Año",2022)-GETPIVOTDATA("TIT",$A$15,"sost","Estatal","entidad","Coahuila de Zaragoza","Año",2018)</f>
        <v>0.22350609079926187</v>
      </c>
      <c r="I24" s="2"/>
      <c r="J24" s="2"/>
      <c r="K24" s="2"/>
    </row>
    <row r="25" spans="1:11">
      <c r="A25" s="51" t="s">
        <v>8</v>
      </c>
      <c r="B25" s="75">
        <v>89.508196721311478</v>
      </c>
      <c r="C25" s="75">
        <v>96.793002915451893</v>
      </c>
      <c r="D25" s="75">
        <v>92.836676217765046</v>
      </c>
      <c r="E25" s="75">
        <v>89.684813753581665</v>
      </c>
      <c r="F25" s="75">
        <v>91.036414565826334</v>
      </c>
      <c r="G25" s="326">
        <f>GETPIVOTDATA("TIT",$A$15,"sost","Estatal","entidad","Colima","Año",2022)-GETPIVOTDATA("TIT",$A$15,"sost","Estatal","entidad","Colima","Año",2021)</f>
        <v>1.3516008122446692</v>
      </c>
      <c r="H25" s="326">
        <f>GETPIVOTDATA("TIT",$A$15,"sost","Estatal","entidad","Colima","Año",2022)-GETPIVOTDATA("TIT",$A$15,"sost","Estatal","entidad","Colima","Año",2018)</f>
        <v>1.528217844514856</v>
      </c>
      <c r="I25" s="2"/>
      <c r="J25" s="2"/>
      <c r="K25" s="2"/>
    </row>
    <row r="26" spans="1:11">
      <c r="A26" s="51" t="s">
        <v>9</v>
      </c>
      <c r="B26" s="75">
        <v>71.105527638190964</v>
      </c>
      <c r="C26" s="75">
        <v>59.166666666666664</v>
      </c>
      <c r="D26" s="75">
        <v>62.153846153846146</v>
      </c>
      <c r="E26" s="75">
        <v>58.603491271820452</v>
      </c>
      <c r="F26" s="75">
        <v>50.936329588014985</v>
      </c>
      <c r="G26" s="327">
        <f>GETPIVOTDATA("TIT",$A$15,"sost","Estatal","entidad","Durango","Año",2022)-GETPIVOTDATA("TIT",$A$15,"sost","Estatal","entidad","Durango","Año",2021)</f>
        <v>-7.6671616838054675</v>
      </c>
      <c r="H26" s="327">
        <f>GETPIVOTDATA("TIT",$A$15,"sost","Estatal","entidad","Durango","Año",2022)-GETPIVOTDATA("TIT",$A$15,"sost","Estatal","entidad","Durango","Año",2018)</f>
        <v>-20.169198050175979</v>
      </c>
      <c r="I26" s="2"/>
      <c r="J26" s="2"/>
      <c r="K26" s="2"/>
    </row>
    <row r="27" spans="1:11">
      <c r="A27" s="51" t="s">
        <v>10</v>
      </c>
      <c r="B27" s="75">
        <v>95.354583642204105</v>
      </c>
      <c r="C27" s="75">
        <v>94.987893462469728</v>
      </c>
      <c r="D27" s="75">
        <v>94.501869364416109</v>
      </c>
      <c r="E27" s="75">
        <v>94.89221208001554</v>
      </c>
      <c r="F27" s="75">
        <v>94.419862340216326</v>
      </c>
      <c r="G27" s="326">
        <f>GETPIVOTDATA("TIT",$A$15,"sost","Estatal","entidad","Guanajuato","Año",2022)-GETPIVOTDATA("TIT",$A$15,"sost","Estatal","entidad","Guanajuato","Año",2021)</f>
        <v>-0.47234973979921335</v>
      </c>
      <c r="H27" s="326">
        <f>GETPIVOTDATA("TIT",$A$15,"sost","Estatal","entidad","Guanajuato","Año",2022)-GETPIVOTDATA("TIT",$A$15,"sost","Estatal","entidad","Guanajuato","Año",2018)</f>
        <v>-0.93472130198777847</v>
      </c>
      <c r="I27" s="2"/>
      <c r="J27" s="2"/>
      <c r="K27" s="2"/>
    </row>
    <row r="28" spans="1:11">
      <c r="A28" s="51" t="s">
        <v>11</v>
      </c>
      <c r="B28" s="75">
        <v>64.243759177679877</v>
      </c>
      <c r="C28" s="75">
        <v>71.709090909090918</v>
      </c>
      <c r="D28" s="75">
        <v>79.300291545189509</v>
      </c>
      <c r="E28" s="75">
        <v>75.071839080459768</v>
      </c>
      <c r="F28" s="75">
        <v>83.30708661417323</v>
      </c>
      <c r="G28" s="327">
        <f>GETPIVOTDATA("TIT",$A$15,"sost","Estatal","entidad","Guerrero","Año",2022)-GETPIVOTDATA("TIT",$A$15,"sost","Estatal","entidad","Guerrero","Año",2021)</f>
        <v>8.2352475337134621</v>
      </c>
      <c r="H28" s="327">
        <f>GETPIVOTDATA("TIT",$A$15,"sost","Estatal","entidad","Guerrero","Año",2022)-GETPIVOTDATA("TIT",$A$15,"sost","Estatal","entidad","Guerrero","Año",2018)</f>
        <v>19.063327436493353</v>
      </c>
      <c r="I28" s="2"/>
      <c r="J28" s="2"/>
      <c r="K28" s="2"/>
    </row>
    <row r="29" spans="1:11">
      <c r="A29" s="51" t="s">
        <v>12</v>
      </c>
      <c r="B29" s="75">
        <v>99.134199134199136</v>
      </c>
      <c r="C29" s="75">
        <v>98.682634730538922</v>
      </c>
      <c r="D29" s="75">
        <v>98.290598290598282</v>
      </c>
      <c r="E29" s="75">
        <v>99.768518518518519</v>
      </c>
      <c r="F29" s="75">
        <v>100</v>
      </c>
      <c r="G29" s="326">
        <f>GETPIVOTDATA("TIT",$A$15,"sost","Estatal","entidad","Hidalgo","Año",2022)-GETPIVOTDATA("TIT",$A$15,"sost","Estatal","entidad","Hidalgo","Año",2021)</f>
        <v>0.23148148148148096</v>
      </c>
      <c r="H29" s="326">
        <f>GETPIVOTDATA("TIT",$A$15,"sost","Estatal","entidad","Hidalgo","Año",2022)-GETPIVOTDATA("TIT",$A$15,"sost","Estatal","entidad","Hidalgo","Año",2018)</f>
        <v>0.86580086580086402</v>
      </c>
      <c r="I29" s="2"/>
      <c r="J29" s="2"/>
      <c r="K29" s="2"/>
    </row>
    <row r="30" spans="1:11">
      <c r="A30" s="51" t="s">
        <v>13</v>
      </c>
      <c r="B30" s="75">
        <v>85.334750265674813</v>
      </c>
      <c r="C30" s="75">
        <v>86.8782722513089</v>
      </c>
      <c r="D30" s="75">
        <v>83.832729667434975</v>
      </c>
      <c r="E30" s="75">
        <v>88.123660850933589</v>
      </c>
      <c r="F30" s="75">
        <v>83.672727272727272</v>
      </c>
      <c r="G30" s="327">
        <f>GETPIVOTDATA("TIT",$A$15,"sost","Estatal","entidad","Jalisco","Año",2022)-GETPIVOTDATA("TIT",$A$15,"sost","Estatal","entidad","Jalisco","Año",2021)</f>
        <v>-4.4509335782063175</v>
      </c>
      <c r="H30" s="327">
        <f>GETPIVOTDATA("TIT",$A$15,"sost","Estatal","entidad","Jalisco","Año",2022)-GETPIVOTDATA("TIT",$A$15,"sost","Estatal","entidad","Jalisco","Año",2018)</f>
        <v>-1.6620229929475414</v>
      </c>
      <c r="I30" s="2"/>
      <c r="J30" s="2"/>
      <c r="K30" s="2"/>
    </row>
    <row r="31" spans="1:11">
      <c r="A31" s="51" t="s">
        <v>14</v>
      </c>
      <c r="B31" s="75">
        <v>78.615239443264912</v>
      </c>
      <c r="C31" s="75">
        <v>80.529100529100532</v>
      </c>
      <c r="D31" s="75">
        <v>76.703253238406006</v>
      </c>
      <c r="E31" s="75">
        <v>65.230029066853774</v>
      </c>
      <c r="F31" s="75">
        <v>63.557824464951892</v>
      </c>
      <c r="G31" s="326">
        <f>GETPIVOTDATA("TIT",$A$15,"sost","Estatal","entidad","México","Año",2022)-GETPIVOTDATA("TIT",$A$15,"sost","Estatal","entidad","México","Año",2021)</f>
        <v>-1.6722046019018819</v>
      </c>
      <c r="H31" s="326">
        <f>GETPIVOTDATA("TIT",$A$15,"sost","Estatal","entidad","México","Año",2022)-GETPIVOTDATA("TIT",$A$15,"sost","Estatal","entidad","México","Año",2018)</f>
        <v>-15.05741497831302</v>
      </c>
      <c r="I31" s="2"/>
      <c r="J31" s="2"/>
      <c r="K31" s="2"/>
    </row>
    <row r="32" spans="1:11">
      <c r="A32" s="51" t="s">
        <v>30</v>
      </c>
      <c r="B32" s="75">
        <v>86.639175257731964</v>
      </c>
      <c r="C32" s="75">
        <v>89.909443725743856</v>
      </c>
      <c r="D32" s="75">
        <v>88.340080971659916</v>
      </c>
      <c r="E32" s="75">
        <v>88.289676425269647</v>
      </c>
      <c r="F32" s="75">
        <v>88.344086021505376</v>
      </c>
      <c r="G32" s="327">
        <f>GETPIVOTDATA("TIT",$A$15,"sost","Estatal","entidad","Michoacán de Ocampo","Año",2022)-GETPIVOTDATA("TIT",$A$15,"sost","Estatal","entidad","Michoacán de Ocampo","Año",2021)</f>
        <v>5.4409596235728941E-2</v>
      </c>
      <c r="H32" s="327">
        <f>GETPIVOTDATA("TIT",$A$15,"sost","Estatal","entidad","Michoacán de Ocampo","Año",2022)-GETPIVOTDATA("TIT",$A$15,"sost","Estatal","entidad","Michoacán de Ocampo","Año",2018)</f>
        <v>1.7049107637734124</v>
      </c>
      <c r="I32" s="2"/>
      <c r="J32" s="2"/>
      <c r="K32" s="2"/>
    </row>
    <row r="33" spans="1:11">
      <c r="A33" s="51" t="s">
        <v>15</v>
      </c>
      <c r="B33" s="75">
        <v>90.892193308550191</v>
      </c>
      <c r="C33" s="75">
        <v>91.023166023166027</v>
      </c>
      <c r="D33" s="75">
        <v>83.041474654377879</v>
      </c>
      <c r="E33" s="75">
        <v>87.155963302752298</v>
      </c>
      <c r="F33" s="75">
        <v>86.065573770491795</v>
      </c>
      <c r="G33" s="326">
        <f>GETPIVOTDATA("TIT",$A$15,"sost","Estatal","entidad","Morelos","Año",2022)-GETPIVOTDATA("TIT",$A$15,"sost","Estatal","entidad","Morelos","Año",2021)</f>
        <v>-1.0903895322605024</v>
      </c>
      <c r="H33" s="326">
        <f>GETPIVOTDATA("TIT",$A$15,"sost","Estatal","entidad","Morelos","Año",2022)-GETPIVOTDATA("TIT",$A$15,"sost","Estatal","entidad","Morelos","Año",2018)</f>
        <v>-4.8266195380583952</v>
      </c>
      <c r="I33" s="2"/>
      <c r="J33" s="2"/>
      <c r="K33" s="2"/>
    </row>
    <row r="34" spans="1:11">
      <c r="A34" s="51" t="s">
        <v>16</v>
      </c>
      <c r="B34" s="75">
        <v>71.598639455782305</v>
      </c>
      <c r="C34" s="75">
        <v>77.61904761904762</v>
      </c>
      <c r="D34" s="75">
        <v>73.020527859237532</v>
      </c>
      <c r="E34" s="75">
        <v>59.683098591549296</v>
      </c>
      <c r="F34" s="75">
        <v>66.97459584295612</v>
      </c>
      <c r="G34" s="327">
        <f>GETPIVOTDATA("TIT",$A$15,"sost","Estatal","entidad","Nayarit","Año",2022)-GETPIVOTDATA("TIT",$A$15,"sost","Estatal","entidad","Nayarit","Año",2021)</f>
        <v>7.2914972514068239</v>
      </c>
      <c r="H34" s="327">
        <f>GETPIVOTDATA("TIT",$A$15,"sost","Estatal","entidad","Nayarit","Año",2022)-GETPIVOTDATA("TIT",$A$15,"sost","Estatal","entidad","Nayarit","Año",2018)</f>
        <v>-4.6240436128261848</v>
      </c>
      <c r="I34" s="2"/>
      <c r="J34" s="2"/>
      <c r="K34" s="2"/>
    </row>
    <row r="35" spans="1:11">
      <c r="A35" s="51" t="s">
        <v>17</v>
      </c>
      <c r="B35" s="75">
        <v>96.172772006560962</v>
      </c>
      <c r="C35" s="75">
        <v>97.35038830516217</v>
      </c>
      <c r="D35" s="75">
        <v>95.625615763546804</v>
      </c>
      <c r="E35" s="75">
        <v>97.317031754117849</v>
      </c>
      <c r="F35" s="75">
        <v>96.333976495351692</v>
      </c>
      <c r="G35" s="326">
        <f>GETPIVOTDATA("TIT",$A$15,"sost","Estatal","entidad","Nuevo León","Año",2022)-GETPIVOTDATA("TIT",$A$15,"sost","Estatal","entidad","Nuevo León","Año",2021)</f>
        <v>-0.98305525876615718</v>
      </c>
      <c r="H35" s="326">
        <f>GETPIVOTDATA("TIT",$A$15,"sost","Estatal","entidad","Nuevo León","Año",2022)-GETPIVOTDATA("TIT",$A$15,"sost","Estatal","entidad","Nuevo León","Año",2018)</f>
        <v>0.16120448879073024</v>
      </c>
      <c r="I35" s="2"/>
      <c r="J35" s="2"/>
      <c r="K35" s="2"/>
    </row>
    <row r="36" spans="1:11">
      <c r="A36" s="51" t="s">
        <v>18</v>
      </c>
      <c r="B36" s="75">
        <v>89.69442780107849</v>
      </c>
      <c r="C36" s="75">
        <v>89.598643301300172</v>
      </c>
      <c r="D36" s="75">
        <v>85.34482758620689</v>
      </c>
      <c r="E36" s="75">
        <v>86.909650924024646</v>
      </c>
      <c r="F36" s="75">
        <v>92.054054054054063</v>
      </c>
      <c r="G36" s="327">
        <f>GETPIVOTDATA("TIT",$A$15,"sost","Estatal","entidad","Puebla","Año",2022)-GETPIVOTDATA("TIT",$A$15,"sost","Estatal","entidad","Puebla","Año",2021)</f>
        <v>5.1444031300294171</v>
      </c>
      <c r="H36" s="327">
        <f>GETPIVOTDATA("TIT",$A$15,"sost","Estatal","entidad","Puebla","Año",2022)-GETPIVOTDATA("TIT",$A$15,"sost","Estatal","entidad","Puebla","Año",2018)</f>
        <v>2.3596262529755734</v>
      </c>
      <c r="I36" s="2"/>
      <c r="J36" s="2"/>
      <c r="K36" s="2"/>
    </row>
    <row r="37" spans="1:11">
      <c r="A37" s="51" t="s">
        <v>29</v>
      </c>
      <c r="B37" s="75">
        <v>95.930949445129471</v>
      </c>
      <c r="C37" s="75">
        <v>96.778523489932894</v>
      </c>
      <c r="D37" s="75">
        <v>95.901639344262293</v>
      </c>
      <c r="E37" s="75">
        <v>97.961494903737261</v>
      </c>
      <c r="F37" s="75">
        <v>98.73060648801129</v>
      </c>
      <c r="G37" s="326">
        <f>GETPIVOTDATA("TIT",$A$15,"sost","Estatal","entidad","Querétaro de Arteaga","Año",2022)-GETPIVOTDATA("TIT",$A$15,"sost","Estatal","entidad","Querétaro de Arteaga","Año",2021)</f>
        <v>0.76911158427402881</v>
      </c>
      <c r="H37" s="326">
        <f>GETPIVOTDATA("TIT",$A$15,"sost","Estatal","entidad","Querétaro de Arteaga","Año",2022)-GETPIVOTDATA("TIT",$A$15,"sost","Estatal","entidad","Querétaro de Arteaga","Año",2018)</f>
        <v>2.7996570428818188</v>
      </c>
      <c r="I37" s="2"/>
      <c r="J37" s="2"/>
      <c r="K37" s="2"/>
    </row>
    <row r="38" spans="1:11">
      <c r="A38" s="51" t="s">
        <v>19</v>
      </c>
      <c r="B38" s="75">
        <v>89.484126984126988</v>
      </c>
      <c r="C38" s="75">
        <v>91.545352743561025</v>
      </c>
      <c r="D38" s="75">
        <v>88.31646734130635</v>
      </c>
      <c r="E38" s="75">
        <v>89.404274670304687</v>
      </c>
      <c r="F38" s="75">
        <v>88.352826510721243</v>
      </c>
      <c r="G38" s="327">
        <f>GETPIVOTDATA("TIT",$A$15,"sost","Estatal","entidad","Quintana Roo","Año",2022)-GETPIVOTDATA("TIT",$A$15,"sost","Estatal","entidad","Quintana Roo","Año",2021)</f>
        <v>-1.051448159583444</v>
      </c>
      <c r="H38" s="327">
        <f>GETPIVOTDATA("TIT",$A$15,"sost","Estatal","entidad","Quintana Roo","Año",2022)-GETPIVOTDATA("TIT",$A$15,"sost","Estatal","entidad","Quintana Roo","Año",2018)</f>
        <v>-1.1313004734057444</v>
      </c>
      <c r="I38" s="2"/>
      <c r="J38" s="2"/>
      <c r="K38" s="2"/>
    </row>
    <row r="39" spans="1:11">
      <c r="A39" s="51" t="s">
        <v>20</v>
      </c>
      <c r="B39" s="75">
        <v>92.21435793731041</v>
      </c>
      <c r="C39" s="75">
        <v>94.582975064488394</v>
      </c>
      <c r="D39" s="75">
        <v>95.551753635585968</v>
      </c>
      <c r="E39" s="75">
        <v>95.886716115981116</v>
      </c>
      <c r="F39" s="75">
        <v>93.994540491355778</v>
      </c>
      <c r="G39" s="326">
        <f>GETPIVOTDATA("TIT",$A$15,"sost","Estatal","entidad","San Luis Potosí","Año",2022)-GETPIVOTDATA("TIT",$A$15,"sost","Estatal","entidad","San Luis Potosí","Año",2021)</f>
        <v>-1.8921756246253381</v>
      </c>
      <c r="H39" s="326">
        <f>GETPIVOTDATA("TIT",$A$15,"sost","Estatal","entidad","San Luis Potosí","Año",2022)-GETPIVOTDATA("TIT",$A$15,"sost","Estatal","entidad","San Luis Potosí","Año",2018)</f>
        <v>1.7801825540453677</v>
      </c>
      <c r="I39" s="2"/>
      <c r="J39" s="2"/>
      <c r="K39" s="2"/>
    </row>
    <row r="40" spans="1:11">
      <c r="A40" s="51" t="s">
        <v>21</v>
      </c>
      <c r="B40" s="75">
        <v>97.52731454859115</v>
      </c>
      <c r="C40" s="75">
        <v>87.88187372708758</v>
      </c>
      <c r="D40" s="75">
        <v>96.351674641148321</v>
      </c>
      <c r="E40" s="75">
        <v>99.717514124293785</v>
      </c>
      <c r="F40" s="75">
        <v>99.643039265680784</v>
      </c>
      <c r="G40" s="327">
        <f>GETPIVOTDATA("TIT",$A$15,"sost","Estatal","entidad","Sinaloa","Año",2022)-GETPIVOTDATA("TIT",$A$15,"sost","Estatal","entidad","Sinaloa","Año",2021)</f>
        <v>-7.4474858613001516E-2</v>
      </c>
      <c r="H40" s="327">
        <f>GETPIVOTDATA("TIT",$A$15,"sost","Estatal","entidad","Sinaloa","Año",2022)-GETPIVOTDATA("TIT",$A$15,"sost","Estatal","entidad","Sinaloa","Año",2018)</f>
        <v>2.1157247170896341</v>
      </c>
      <c r="I40" s="2"/>
      <c r="J40" s="2"/>
      <c r="K40" s="2"/>
    </row>
    <row r="41" spans="1:11">
      <c r="A41" s="51" t="s">
        <v>22</v>
      </c>
      <c r="B41" s="75">
        <v>69.63053187170118</v>
      </c>
      <c r="C41" s="75">
        <v>55.525709900230233</v>
      </c>
      <c r="D41" s="75">
        <v>51.214066424783702</v>
      </c>
      <c r="E41" s="75">
        <v>59.503065505001615</v>
      </c>
      <c r="F41" s="75">
        <v>73.771055345479539</v>
      </c>
      <c r="G41" s="326">
        <f>GETPIVOTDATA("TIT",$A$15,"sost","Estatal","entidad","Sonora","Año",2022)-GETPIVOTDATA("TIT",$A$15,"sost","Estatal","entidad","Sonora","Año",2021)</f>
        <v>14.267989840477924</v>
      </c>
      <c r="H41" s="326">
        <f>GETPIVOTDATA("TIT",$A$15,"sost","Estatal","entidad","Sonora","Año",2022)-GETPIVOTDATA("TIT",$A$15,"sost","Estatal","entidad","Sonora","Año",2018)</f>
        <v>4.1405234737783587</v>
      </c>
      <c r="I41" s="2"/>
      <c r="J41" s="2"/>
      <c r="K41" s="2"/>
    </row>
    <row r="42" spans="1:11">
      <c r="A42" s="51" t="s">
        <v>23</v>
      </c>
      <c r="B42" s="75">
        <v>91.711435149654648</v>
      </c>
      <c r="C42" s="75">
        <v>95.994277539341923</v>
      </c>
      <c r="D42" s="75">
        <v>99.364406779661024</v>
      </c>
      <c r="E42" s="75">
        <v>98.318762609280427</v>
      </c>
      <c r="F42" s="75">
        <v>97.787610619469021</v>
      </c>
      <c r="G42" s="327">
        <f>GETPIVOTDATA("TIT",$A$15,"sost","Estatal","entidad","Tabasco","Año",2022)-GETPIVOTDATA("TIT",$A$15,"sost","Estatal","entidad","Tabasco","Año",2021)</f>
        <v>-0.53115198981140566</v>
      </c>
      <c r="H42" s="327">
        <f>GETPIVOTDATA("TIT",$A$15,"sost","Estatal","entidad","Tabasco","Año",2022)-GETPIVOTDATA("TIT",$A$15,"sost","Estatal","entidad","Tabasco","Año",2018)</f>
        <v>6.0761754698143733</v>
      </c>
      <c r="I42" s="2"/>
      <c r="J42" s="2"/>
      <c r="K42" s="2"/>
    </row>
    <row r="43" spans="1:11">
      <c r="A43" s="51" t="s">
        <v>24</v>
      </c>
      <c r="B43" s="75">
        <v>85.879873551106428</v>
      </c>
      <c r="C43" s="75">
        <v>93.372844827586206</v>
      </c>
      <c r="D43" s="75">
        <v>92.901381610290613</v>
      </c>
      <c r="E43" s="75">
        <v>99.684873949579838</v>
      </c>
      <c r="F43" s="75">
        <v>98.146067415730343</v>
      </c>
      <c r="G43" s="326">
        <f>GETPIVOTDATA("TIT",$A$15,"sost","Estatal","entidad","Tamaulipas","Año",2022)-GETPIVOTDATA("TIT",$A$15,"sost","Estatal","entidad","Tamaulipas","Año",2021)</f>
        <v>-1.5388065338494954</v>
      </c>
      <c r="H43" s="326">
        <f>GETPIVOTDATA("TIT",$A$15,"sost","Estatal","entidad","Tamaulipas","Año",2022)-GETPIVOTDATA("TIT",$A$15,"sost","Estatal","entidad","Tamaulipas","Año",2018)</f>
        <v>12.266193864623915</v>
      </c>
      <c r="I43" s="2"/>
      <c r="J43" s="2"/>
      <c r="K43" s="2"/>
    </row>
    <row r="44" spans="1:11">
      <c r="A44" s="51" t="s">
        <v>25</v>
      </c>
      <c r="B44" s="75">
        <v>97.15302491103202</v>
      </c>
      <c r="C44" s="75">
        <v>97.81144781144782</v>
      </c>
      <c r="D44" s="75">
        <v>97.931034482758619</v>
      </c>
      <c r="E44" s="75">
        <v>95.906432748538009</v>
      </c>
      <c r="F44" s="75">
        <v>96.993464052287578</v>
      </c>
      <c r="G44" s="327">
        <f>GETPIVOTDATA("TIT",$A$15,"sost","Estatal","entidad","Tlaxcala","Año",2022)-GETPIVOTDATA("TIT",$A$15,"sost","Estatal","entidad","Tlaxcala","Año",2021)</f>
        <v>1.0870313037495691</v>
      </c>
      <c r="H44" s="327">
        <f>GETPIVOTDATA("TIT",$A$15,"sost","Estatal","entidad","Tlaxcala","Año",2022)-GETPIVOTDATA("TIT",$A$15,"sost","Estatal","entidad","Tlaxcala","Año",2018)</f>
        <v>-0.1595608587444417</v>
      </c>
      <c r="I44" s="2"/>
      <c r="J44" s="2"/>
      <c r="K44" s="2"/>
    </row>
    <row r="45" spans="1:11">
      <c r="A45" s="51" t="s">
        <v>53</v>
      </c>
      <c r="B45" s="75">
        <v>89.224526600541026</v>
      </c>
      <c r="C45" s="75">
        <v>88.349514563106794</v>
      </c>
      <c r="D45" s="75">
        <v>89.600665557404326</v>
      </c>
      <c r="E45" s="75">
        <v>92.62751821688812</v>
      </c>
      <c r="F45" s="75">
        <v>89.555921052631575</v>
      </c>
      <c r="G45" s="326">
        <f>GETPIVOTDATA("TIT",$A$15,"sost","Estatal","entidad","Veracruz llave","Año",2022)-GETPIVOTDATA("TIT",$A$15,"sost","Estatal","entidad","Veracruz llave","Año",2021)</f>
        <v>-3.0715971642565449</v>
      </c>
      <c r="H45" s="326">
        <f>GETPIVOTDATA("TIT",$A$15,"sost","Estatal","entidad","Veracruz llave","Año",2022)-GETPIVOTDATA("TIT",$A$15,"sost","Estatal","entidad","Veracruz llave","Año",2018)</f>
        <v>0.33139445209054941</v>
      </c>
      <c r="I45" s="2"/>
      <c r="J45" s="2"/>
      <c r="K45" s="2"/>
    </row>
    <row r="46" spans="1:11">
      <c r="A46" s="51" t="s">
        <v>26</v>
      </c>
      <c r="B46" s="75">
        <v>79.534432589718719</v>
      </c>
      <c r="C46" s="75">
        <v>84.466019417475721</v>
      </c>
      <c r="D46" s="75">
        <v>80.103806228373699</v>
      </c>
      <c r="E46" s="75">
        <v>80.875202593192881</v>
      </c>
      <c r="F46" s="75">
        <v>79.009687836383208</v>
      </c>
      <c r="G46" s="327">
        <f>GETPIVOTDATA("TIT",$A$15,"sost","Estatal","entidad","Yucatán","Año",2022)-GETPIVOTDATA("TIT",$A$15,"sost","Estatal","entidad","Yucatán","Año",2021)</f>
        <v>-1.8655147568096737</v>
      </c>
      <c r="H46" s="327">
        <f>GETPIVOTDATA("TIT",$A$15,"sost","Estatal","entidad","Yucatán","Año",2022)-GETPIVOTDATA("TIT",$A$15,"sost","Estatal","entidad","Yucatán","Año",2018)</f>
        <v>-0.5247447533355114</v>
      </c>
      <c r="I46" s="2"/>
      <c r="J46" s="2"/>
      <c r="K46" s="2"/>
    </row>
    <row r="47" spans="1:11">
      <c r="A47" s="51" t="s">
        <v>27</v>
      </c>
      <c r="B47" s="75">
        <v>99.615384615384613</v>
      </c>
      <c r="C47" s="75">
        <v>99.618320610687022</v>
      </c>
      <c r="D47" s="75">
        <v>97.651006711409394</v>
      </c>
      <c r="E47" s="75">
        <v>97.931034482758619</v>
      </c>
      <c r="F47" s="75">
        <v>81.165919282511211</v>
      </c>
      <c r="G47" s="326">
        <f>GETPIVOTDATA("TIT",$A$15,"sost","Estatal","entidad","Zacatecas","Año",2022)-GETPIVOTDATA("TIT",$A$15,"sost","Estatal","entidad","Zacatecas","Año",2021)</f>
        <v>-16.765115200247408</v>
      </c>
      <c r="H47" s="326">
        <f>GETPIVOTDATA("TIT",$A$15,"sost","Estatal","entidad","Zacatecas","Año",2022)-GETPIVOTDATA("TIT",$A$15,"sost","Estatal","entidad","Zacatecas","Año",2018)</f>
        <v>-18.449465332873402</v>
      </c>
      <c r="I47" s="2"/>
      <c r="J47" s="2"/>
      <c r="K47" s="2"/>
    </row>
    <row r="48" spans="1:11">
      <c r="A48" s="49" t="s">
        <v>50</v>
      </c>
      <c r="B48" s="80">
        <v>65.98990869774147</v>
      </c>
      <c r="C48" s="80">
        <v>66.300366300366292</v>
      </c>
      <c r="D48" s="80">
        <v>65.32266781969517</v>
      </c>
      <c r="E48" s="80">
        <v>51.305188527231714</v>
      </c>
      <c r="F48" s="80">
        <v>51.705583756345177</v>
      </c>
      <c r="G48" s="328">
        <f>GETPIVOTDATA("TIT",$A$15,"sost","Federal","Año",2022)-GETPIVOTDATA("TIT",$A$15,"sost","Federal","Año",2021)</f>
        <v>0.40039522911346381</v>
      </c>
      <c r="H48" s="328">
        <f>GETPIVOTDATA("TIT",$A$15,"sost","Federal","Año",2022)-GETPIVOTDATA("TIT",$A$15,"sost","Federal","Año",2018)</f>
        <v>-14.284324941396292</v>
      </c>
      <c r="I48" s="2"/>
      <c r="J48" s="2"/>
      <c r="K48" s="2"/>
    </row>
    <row r="49" spans="1:11">
      <c r="A49" s="51" t="s">
        <v>32</v>
      </c>
      <c r="B49" s="75">
        <v>65.369649805447466</v>
      </c>
      <c r="C49" s="75">
        <v>65.78581363004173</v>
      </c>
      <c r="D49" s="75">
        <v>65.148237689273444</v>
      </c>
      <c r="E49" s="75">
        <v>51.50878060845907</v>
      </c>
      <c r="F49" s="75">
        <v>52.871354284422331</v>
      </c>
      <c r="G49" s="326">
        <f>GETPIVOTDATA("TIT",$A$15,"sost","Federal","entidad","Ciudad de México","Año",2022)-GETPIVOTDATA("TIT",$A$15,"sost","Federal","entidad","Ciudad de México","Año",2021)</f>
        <v>1.3625736759632616</v>
      </c>
      <c r="H49" s="326">
        <f>GETPIVOTDATA("TIT",$A$15,"sost","Federal","entidad","Ciudad de México","Año",2022)-GETPIVOTDATA("TIT",$A$15,"sost","Federal","entidad","Ciudad de México","Año",2018)</f>
        <v>-12.498295521025135</v>
      </c>
      <c r="I49" s="2"/>
      <c r="J49" s="2"/>
      <c r="K49" s="2"/>
    </row>
    <row r="50" spans="1:11">
      <c r="A50" s="51" t="s">
        <v>28</v>
      </c>
      <c r="B50" s="75">
        <v>69.946808510638306</v>
      </c>
      <c r="C50" s="75">
        <v>69.264384559359073</v>
      </c>
      <c r="D50" s="75">
        <v>66.307471264367805</v>
      </c>
      <c r="E50" s="75">
        <v>49.959116925592809</v>
      </c>
      <c r="F50" s="75">
        <v>41.43426294820717</v>
      </c>
      <c r="G50" s="327">
        <f>GETPIVOTDATA("TIT",$A$15,"sost","Federal","entidad","Oaxaca","Año",2022)-GETPIVOTDATA("TIT",$A$15,"sost","Federal","entidad","Oaxaca","Año",2021)</f>
        <v>-8.5248539773856393</v>
      </c>
      <c r="H50" s="327">
        <f>GETPIVOTDATA("TIT",$A$15,"sost","Federal","entidad","Oaxaca","Año",2022)-GETPIVOTDATA("TIT",$A$15,"sost","Federal","entidad","Oaxaca","Año",2018)</f>
        <v>-28.512545562431136</v>
      </c>
      <c r="I50" s="2"/>
      <c r="J50" s="2"/>
      <c r="K50" s="2"/>
    </row>
    <row r="51" spans="1:11">
      <c r="A51" s="51" t="s">
        <v>39</v>
      </c>
      <c r="B51" s="75">
        <v>0</v>
      </c>
      <c r="C51" s="75">
        <v>0</v>
      </c>
      <c r="D51" s="75">
        <v>0</v>
      </c>
      <c r="E51" s="75">
        <v>0</v>
      </c>
      <c r="F51" s="75">
        <v>0</v>
      </c>
      <c r="G51" s="326">
        <f>GETPIVOTDATA("TIT",$A$15,"sost","Federal","entidad","Oficinas Nacionales","Año",2022)-GETPIVOTDATA("TIT",$A$15,"sost","Federal","entidad","Oficinas Nacionales","Año",2021)</f>
        <v>0</v>
      </c>
      <c r="H51" s="326">
        <f>GETPIVOTDATA("TIT",$A$15,"sost","Federal","entidad","Oficinas Nacionales","Año",2022)-GETPIVOTDATA("TIT",$A$15,"sost","Federal","entidad","Oficinas Nacionales","Año",2018)</f>
        <v>0</v>
      </c>
    </row>
    <row r="52" spans="1:11" hidden="1">
      <c r="A52" s="49" t="s">
        <v>124</v>
      </c>
      <c r="B52" s="75">
        <v>0</v>
      </c>
      <c r="C52" s="75">
        <v>0</v>
      </c>
      <c r="D52" s="75">
        <v>0</v>
      </c>
      <c r="E52" s="75">
        <v>0</v>
      </c>
      <c r="F52" s="75">
        <v>0</v>
      </c>
      <c r="G52" s="328">
        <f>GETPIVOTDATA("TIT",$A$15,"sost","Otro","Año",2022)-GETPIVOTDATA("TIT",$A$15,"sost","Otro","Año",2021)</f>
        <v>0</v>
      </c>
      <c r="H52" s="328">
        <f>GETPIVOTDATA("TIT",$A$15,"sost","Otro","Año",2022)-GETPIVOTDATA("TIT",$A$15,"sost","Otro","Año",2018)</f>
        <v>0</v>
      </c>
    </row>
    <row r="53" spans="1:11" hidden="1">
      <c r="A53" s="51" t="s">
        <v>40</v>
      </c>
      <c r="B53" s="75">
        <v>0</v>
      </c>
      <c r="C53" s="75">
        <v>0</v>
      </c>
      <c r="D53" s="75">
        <v>0</v>
      </c>
      <c r="E53" s="75">
        <v>0</v>
      </c>
      <c r="F53" s="75">
        <v>0</v>
      </c>
      <c r="G53" s="326">
        <f>GETPIVOTDATA("TIT",$A$15,"sost","Otro","entidad","Otros","Año",2022)-GETPIVOTDATA("TIT",$A$15,"sost","Otro","entidad","Otros","Año",2021)</f>
        <v>0</v>
      </c>
      <c r="H53" s="326">
        <f>GETPIVOTDATA("TIT",$A$15,"sost","Otro","entidad","Otros","Año",2022)-GETPIVOTDATA("TIT",$A$15,"sost","Otro","entidad","Otros","Año",2018)</f>
        <v>0</v>
      </c>
    </row>
    <row r="54" spans="1:11" hidden="1">
      <c r="A54" s="49" t="s">
        <v>37</v>
      </c>
      <c r="B54" s="75">
        <v>84.02268009922544</v>
      </c>
      <c r="C54" s="75">
        <v>84.709180098107922</v>
      </c>
      <c r="D54" s="75">
        <v>83.143353656740587</v>
      </c>
      <c r="E54" s="75">
        <v>81.468016114768588</v>
      </c>
      <c r="F54" s="75">
        <v>80.885759845954809</v>
      </c>
      <c r="G54" s="331">
        <f>GETPIVOTDATA("TIT",$A$15,"Año",2022)-GETPIVOTDATA("TIT",$A$15,"Año",2021)</f>
        <v>-0.58225626881377934</v>
      </c>
      <c r="H54" s="331">
        <f>GETPIVOTDATA("TIT",$A$15,"Año",2022)-GETPIVOTDATA("TIT",$A$15,"Año",2018)</f>
        <v>-3.1369202532706311</v>
      </c>
    </row>
    <row r="55" spans="1:11" ht="15">
      <c r="A55" s="3"/>
      <c r="B55" s="3"/>
      <c r="C55" s="3"/>
      <c r="D55" s="3"/>
      <c r="E55" s="3"/>
      <c r="F55" s="3"/>
    </row>
    <row r="56" spans="1:11" ht="12" customHeight="1">
      <c r="A56" s="84" t="s">
        <v>43</v>
      </c>
      <c r="B56" s="85"/>
      <c r="C56" s="85"/>
      <c r="D56" s="85"/>
      <c r="E56" s="85"/>
      <c r="F56" s="85"/>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57"/>
  <sheetViews>
    <sheetView showGridLines="0" view="pageBreakPreview" zoomScaleNormal="120" zoomScaleSheetLayoutView="100" workbookViewId="0">
      <selection activeCell="L39" sqref="L39"/>
    </sheetView>
  </sheetViews>
  <sheetFormatPr baseColWidth="10" defaultColWidth="11.42578125" defaultRowHeight="13.5"/>
  <cols>
    <col min="1" max="1" width="23.5703125" style="48" customWidth="1"/>
    <col min="2" max="10" width="9.42578125" style="48"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J1" s="64" t="s">
        <v>48</v>
      </c>
    </row>
    <row r="2" spans="1:11" s="3" customFormat="1" ht="15" customHeight="1">
      <c r="B2" s="1"/>
      <c r="C2" s="1"/>
      <c r="D2" s="1"/>
      <c r="E2" s="1"/>
      <c r="J2" s="6" t="s">
        <v>42</v>
      </c>
    </row>
    <row r="3" spans="1:11" s="3" customFormat="1" ht="15" customHeight="1">
      <c r="B3" s="1"/>
      <c r="C3" s="1"/>
      <c r="D3" s="1"/>
      <c r="E3" s="1"/>
      <c r="F3" s="1"/>
    </row>
    <row r="4" spans="1:11" s="3" customFormat="1" ht="6.75" customHeight="1">
      <c r="B4" s="1"/>
      <c r="C4" s="1"/>
      <c r="D4" s="1"/>
      <c r="E4" s="1"/>
      <c r="F4" s="1"/>
    </row>
    <row r="5" spans="1:11" s="3" customFormat="1" ht="15" customHeight="1">
      <c r="A5" s="367" t="s">
        <v>176</v>
      </c>
      <c r="B5" s="367"/>
      <c r="C5" s="367"/>
      <c r="D5" s="367"/>
      <c r="E5" s="367"/>
      <c r="F5" s="367"/>
      <c r="G5" s="367"/>
      <c r="H5" s="367"/>
      <c r="I5" s="367"/>
      <c r="J5" s="367"/>
    </row>
    <row r="6" spans="1:11" s="3" customFormat="1" ht="8.1" customHeight="1">
      <c r="A6" s="188"/>
      <c r="B6" s="63"/>
      <c r="C6" s="65"/>
      <c r="D6" s="65"/>
      <c r="E6" s="66"/>
      <c r="F6" s="66"/>
    </row>
    <row r="7" spans="1:11" s="68" customFormat="1" ht="15" customHeight="1">
      <c r="A7" s="76" t="s">
        <v>45</v>
      </c>
      <c r="B7" s="76" t="s">
        <v>0</v>
      </c>
      <c r="C7" s="67"/>
      <c r="D7" s="67"/>
      <c r="E7" s="63"/>
      <c r="F7" s="63"/>
    </row>
    <row r="8" spans="1:11" s="68" customFormat="1" ht="15" customHeight="1">
      <c r="A8" s="77">
        <v>2018</v>
      </c>
      <c r="B8" s="92">
        <f>$B$54</f>
        <v>17596.600771310892</v>
      </c>
      <c r="C8" s="69"/>
      <c r="D8" s="67"/>
      <c r="E8" s="63"/>
      <c r="F8" s="63"/>
    </row>
    <row r="9" spans="1:11" s="68" customFormat="1" ht="15" customHeight="1">
      <c r="A9" s="77">
        <v>2019</v>
      </c>
      <c r="B9" s="92">
        <f>$C$54</f>
        <v>18155.932300017314</v>
      </c>
      <c r="C9" s="67"/>
      <c r="D9" s="67"/>
      <c r="E9" s="63"/>
      <c r="F9" s="63"/>
    </row>
    <row r="10" spans="1:11" s="68" customFormat="1" ht="15" customHeight="1">
      <c r="A10" s="77">
        <v>2020</v>
      </c>
      <c r="B10" s="92">
        <f>$D$54</f>
        <v>18764.38587228108</v>
      </c>
      <c r="C10" s="67"/>
      <c r="D10" s="67"/>
      <c r="E10" s="63"/>
      <c r="F10" s="63"/>
    </row>
    <row r="11" spans="1:11" s="68" customFormat="1" ht="15" customHeight="1">
      <c r="A11" s="77">
        <v>2021</v>
      </c>
      <c r="B11" s="92">
        <f>$E$54</f>
        <v>19454.776944934765</v>
      </c>
      <c r="C11" s="67"/>
      <c r="D11" s="67"/>
      <c r="E11" s="63"/>
      <c r="F11" s="63"/>
    </row>
    <row r="12" spans="1:11" s="68" customFormat="1" ht="15" customHeight="1">
      <c r="A12" s="77">
        <v>2022</v>
      </c>
      <c r="B12" s="92">
        <f>$F$54</f>
        <v>19699.358796076998</v>
      </c>
      <c r="C12" s="67"/>
      <c r="D12" s="67"/>
      <c r="E12" s="63"/>
      <c r="F12" s="63"/>
    </row>
    <row r="13" spans="1:11" s="68" customFormat="1" ht="15" customHeight="1">
      <c r="A13" s="79" t="s">
        <v>314</v>
      </c>
      <c r="B13" s="92">
        <f>B12-B11</f>
        <v>244.58185114223306</v>
      </c>
      <c r="C13" s="67"/>
      <c r="D13" s="67"/>
      <c r="E13" s="63"/>
      <c r="F13" s="63"/>
    </row>
    <row r="14" spans="1:11" s="3" customFormat="1" ht="18.75">
      <c r="A14" s="71"/>
      <c r="B14" s="365"/>
      <c r="C14" s="365"/>
      <c r="D14" s="365"/>
      <c r="E14" s="366"/>
      <c r="F14" s="366"/>
      <c r="G14" s="366"/>
      <c r="H14" s="366"/>
      <c r="I14" s="366"/>
      <c r="J14" s="366"/>
    </row>
    <row r="15" spans="1:11" hidden="1">
      <c r="A15" s="83" t="s">
        <v>177</v>
      </c>
      <c r="B15" s="47" t="s">
        <v>45</v>
      </c>
      <c r="G15" s="311"/>
      <c r="H15" s="311"/>
      <c r="I15" s="311"/>
      <c r="J15" s="311"/>
      <c r="K15" s="2"/>
    </row>
    <row r="16" spans="1:11" ht="27">
      <c r="A16" s="47" t="s">
        <v>156</v>
      </c>
      <c r="B16" s="48">
        <v>2018</v>
      </c>
      <c r="C16" s="48">
        <v>2019</v>
      </c>
      <c r="D16" s="48">
        <v>2020</v>
      </c>
      <c r="E16" s="48">
        <v>2021</v>
      </c>
      <c r="F16" s="48">
        <v>2022</v>
      </c>
      <c r="G16" s="313" t="s">
        <v>333</v>
      </c>
      <c r="H16" s="313" t="s">
        <v>334</v>
      </c>
      <c r="I16" s="313" t="s">
        <v>333</v>
      </c>
      <c r="J16" s="313" t="s">
        <v>335</v>
      </c>
      <c r="K16" s="2"/>
    </row>
    <row r="17" spans="1:11">
      <c r="A17" s="49" t="s">
        <v>49</v>
      </c>
      <c r="B17" s="50">
        <v>17564.674568993294</v>
      </c>
      <c r="C17" s="50">
        <v>18193.389293201697</v>
      </c>
      <c r="D17" s="50">
        <v>19073.175965475348</v>
      </c>
      <c r="E17" s="50">
        <v>19678.188078414314</v>
      </c>
      <c r="F17" s="50">
        <v>19510.385081394739</v>
      </c>
      <c r="G17" s="332">
        <f>((GETPIVOTDATA("COSTO",$A$15,"sost","Estatal","Año",2022)/GETPIVOTDATA("COSTO",$A$15,"sost","Estatal","Año",2021))-1)*100</f>
        <v>-0.85273601589185288</v>
      </c>
      <c r="H17" s="320">
        <f>GETPIVOTDATA("COSTO",$A$15,"sost","Estatal","Año",2022)-GETPIVOTDATA("COSTO",$A$15,"sost","Estatal","Año",2021)</f>
        <v>-167.80299701957483</v>
      </c>
      <c r="I17" s="332">
        <f>((GETPIVOTDATA("COSTO",$A$15,"sost","Estatal","Año",2022)/GETPIVOTDATA("COSTO",$A$15,"sost","Estatal","Año",2018))-1)*100</f>
        <v>11.077407126211058</v>
      </c>
      <c r="J17" s="320">
        <f>GETPIVOTDATA("COSTO",$A$15,"sost","Estatal","Año",2022)-GETPIVOTDATA("COSTO",$A$15,"sost","Estatal","Año",2018)</f>
        <v>1945.7105124014452</v>
      </c>
      <c r="K17" s="2"/>
    </row>
    <row r="18" spans="1:11">
      <c r="A18" s="51" t="s">
        <v>1</v>
      </c>
      <c r="B18" s="50">
        <v>15053.664376465573</v>
      </c>
      <c r="C18" s="50">
        <v>16021.212513239188</v>
      </c>
      <c r="D18" s="50">
        <v>16746.126519532114</v>
      </c>
      <c r="E18" s="50">
        <v>19548.081661552984</v>
      </c>
      <c r="F18" s="50">
        <v>18525.71715481014</v>
      </c>
      <c r="G18" s="306">
        <f>((GETPIVOTDATA("COSTO",$A$15,"sost","Estatal","entidad","Aguascalientes","Año",2022)/GETPIVOTDATA("COSTO",$A$15,"sost","Estatal","entidad","Aguascalientes","Año",2021))-1)*100</f>
        <v>-5.2299991602430378</v>
      </c>
      <c r="H18" s="321">
        <f>GETPIVOTDATA("COSTO",$A$15,"sost","Estatal","entidad","Aguascalientes","Año",2022)-GETPIVOTDATA("COSTO",$A$15,"sost","Estatal","entidad","Aguascalientes","Año",2021)</f>
        <v>-1022.3645067428442</v>
      </c>
      <c r="I18" s="306">
        <f>((GETPIVOTDATA("COSTO",$A$15,"sost","Estatal","entidad","Aguascalientes","Año",2022)/GETPIVOTDATA("COSTO",$A$15,"sost","Estatal","entidad","Aguascalientes","Año",2018))-1)*100</f>
        <v>23.064502379717354</v>
      </c>
      <c r="J18" s="321">
        <f>GETPIVOTDATA("COSTO",$A$15,"sost","Estatal","entidad","Aguascalientes","Año",2022)-GETPIVOTDATA("COSTO",$A$15,"sost","Estatal","entidad","Aguascalientes","Año",2018)</f>
        <v>3472.0527783445668</v>
      </c>
      <c r="K18" s="2"/>
    </row>
    <row r="19" spans="1:11">
      <c r="A19" s="51" t="s">
        <v>3</v>
      </c>
      <c r="B19" s="50">
        <v>16348.639330536515</v>
      </c>
      <c r="C19" s="50">
        <v>16281.244365569273</v>
      </c>
      <c r="D19" s="50">
        <v>17315.894557475931</v>
      </c>
      <c r="E19" s="50">
        <v>17096.273346906459</v>
      </c>
      <c r="F19" s="50">
        <v>17852.522186779119</v>
      </c>
      <c r="G19" s="307">
        <f>((GETPIVOTDATA("COSTO",$A$15,"sost","Estatal","entidad","Baja California","Año",2022)/GETPIVOTDATA("COSTO",$A$15,"sost","Estatal","entidad","Baja California","Año",2021))-1)*100</f>
        <v>4.4234718556924735</v>
      </c>
      <c r="H19" s="322">
        <f>GETPIVOTDATA("COSTO",$A$15,"sost","Estatal","entidad","Baja California","Año",2022)-GETPIVOTDATA("COSTO",$A$15,"sost","Estatal","entidad","Baja California","Año",2021)</f>
        <v>756.24883987266003</v>
      </c>
      <c r="I19" s="307">
        <f>((GETPIVOTDATA("COSTO",$A$15,"sost","Estatal","entidad","Baja California","Año",2022)/GETPIVOTDATA("COSTO",$A$15,"sost","Estatal","entidad","Baja California","Año",2018))-1)*100</f>
        <v>9.1988258217526653</v>
      </c>
      <c r="J19" s="322">
        <f>GETPIVOTDATA("COSTO",$A$15,"sost","Estatal","entidad","Baja California","Año",2022)-GETPIVOTDATA("COSTO",$A$15,"sost","Estatal","entidad","Baja California","Año",2018)</f>
        <v>1503.8828562426042</v>
      </c>
      <c r="K19" s="2"/>
    </row>
    <row r="20" spans="1:11">
      <c r="A20" s="51" t="s">
        <v>4</v>
      </c>
      <c r="B20" s="50">
        <v>20455.653680023574</v>
      </c>
      <c r="C20" s="50">
        <v>23238.545942782832</v>
      </c>
      <c r="D20" s="50">
        <v>24937.012219269105</v>
      </c>
      <c r="E20" s="50">
        <v>24691.223135205746</v>
      </c>
      <c r="F20" s="50">
        <v>24332.024343462806</v>
      </c>
      <c r="G20" s="306">
        <f>((GETPIVOTDATA("COSTO",$A$15,"sost","Estatal","entidad","Baja California Sur","Año",2022)/GETPIVOTDATA("COSTO",$A$15,"sost","Estatal","entidad","Baja California Sur","Año",2021))-1)*100</f>
        <v>-1.454763053964625</v>
      </c>
      <c r="H20" s="321">
        <f>GETPIVOTDATA("COSTO",$A$15,"sost","Estatal","entidad","Baja California Sur","Año",2022)-GETPIVOTDATA("COSTO",$A$15,"sost","Estatal","entidad","Baja California Sur","Año",2021)</f>
        <v>-359.19879174293965</v>
      </c>
      <c r="I20" s="306">
        <f>((GETPIVOTDATA("COSTO",$A$15,"sost","Estatal","entidad","Baja California Sur","Año",2022)/GETPIVOTDATA("COSTO",$A$15,"sost","Estatal","entidad","Baja California Sur","Año",2018))-1)*100</f>
        <v>18.950118749931665</v>
      </c>
      <c r="J20" s="321">
        <f>GETPIVOTDATA("COSTO",$A$15,"sost","Estatal","entidad","Baja California Sur","Año",2022)-GETPIVOTDATA("COSTO",$A$15,"sost","Estatal","entidad","Baja California Sur","Año",2018)</f>
        <v>3876.3706634392329</v>
      </c>
      <c r="K20" s="2"/>
    </row>
    <row r="21" spans="1:11">
      <c r="A21" s="51" t="s">
        <v>5</v>
      </c>
      <c r="B21" s="50">
        <v>21896.02678006329</v>
      </c>
      <c r="C21" s="50">
        <v>21888.638914490526</v>
      </c>
      <c r="D21" s="50">
        <v>22884.785002552322</v>
      </c>
      <c r="E21" s="50">
        <v>23876.782173464115</v>
      </c>
      <c r="F21" s="50">
        <v>23512.548543051817</v>
      </c>
      <c r="G21" s="307">
        <f>((GETPIVOTDATA("COSTO",$A$15,"sost","Estatal","entidad","Campeche","Año",2022)/GETPIVOTDATA("COSTO",$A$15,"sost","Estatal","entidad","Campeche","Año",2021))-1)*100</f>
        <v>-1.5254720161458568</v>
      </c>
      <c r="H21" s="322">
        <f>GETPIVOTDATA("COSTO",$A$15,"sost","Estatal","entidad","Campeche","Año",2022)-GETPIVOTDATA("COSTO",$A$15,"sost","Estatal","entidad","Campeche","Año",2021)</f>
        <v>-364.23363041229823</v>
      </c>
      <c r="I21" s="307">
        <f>((GETPIVOTDATA("COSTO",$A$15,"sost","Estatal","entidad","Campeche","Año",2022)/GETPIVOTDATA("COSTO",$A$15,"sost","Estatal","entidad","Campeche","Año",2018))-1)*100</f>
        <v>7.3827173268731894</v>
      </c>
      <c r="J21" s="322">
        <f>GETPIVOTDATA("COSTO",$A$15,"sost","Estatal","entidad","Campeche","Año",2022)-GETPIVOTDATA("COSTO",$A$15,"sost","Estatal","entidad","Campeche","Año",2018)</f>
        <v>1616.5217629885265</v>
      </c>
      <c r="K21" s="2"/>
    </row>
    <row r="22" spans="1:11">
      <c r="A22" s="51" t="s">
        <v>6</v>
      </c>
      <c r="B22" s="50">
        <v>25476.089854535083</v>
      </c>
      <c r="C22" s="50">
        <v>27735.96532236147</v>
      </c>
      <c r="D22" s="50">
        <v>26960.912104152005</v>
      </c>
      <c r="E22" s="50">
        <v>26016.114601717851</v>
      </c>
      <c r="F22" s="50">
        <v>22963.995870236355</v>
      </c>
      <c r="G22" s="306">
        <f>((GETPIVOTDATA("COSTO",$A$15,"sost","Estatal","entidad","Chiapas","Año",2022)/GETPIVOTDATA("COSTO",$A$15,"sost","Estatal","entidad","Chiapas","Año",2021))-1)*100</f>
        <v>-11.731647012655621</v>
      </c>
      <c r="H22" s="321">
        <f>GETPIVOTDATA("COSTO",$A$15,"sost","Estatal","entidad","Chiapas","Año",2022)-GETPIVOTDATA("COSTO",$A$15,"sost","Estatal","entidad","Chiapas","Año",2021)</f>
        <v>-3052.1187314814961</v>
      </c>
      <c r="I22" s="306">
        <f>((GETPIVOTDATA("COSTO",$A$15,"sost","Estatal","entidad","Chiapas","Año",2022)/GETPIVOTDATA("COSTO",$A$15,"sost","Estatal","entidad","Chiapas","Año",2018))-1)*100</f>
        <v>-9.8605947719702431</v>
      </c>
      <c r="J22" s="321">
        <f>GETPIVOTDATA("COSTO",$A$15,"sost","Estatal","entidad","Chiapas","Año",2022)-GETPIVOTDATA("COSTO",$A$15,"sost","Estatal","entidad","Chiapas","Año",2018)</f>
        <v>-2512.0939842987282</v>
      </c>
      <c r="K22" s="2"/>
    </row>
    <row r="23" spans="1:11">
      <c r="A23" s="51" t="s">
        <v>7</v>
      </c>
      <c r="B23" s="50">
        <v>19840.824095415839</v>
      </c>
      <c r="C23" s="50">
        <v>19731.984542479971</v>
      </c>
      <c r="D23" s="50">
        <v>21165.408142095501</v>
      </c>
      <c r="E23" s="50">
        <v>24379.529030710171</v>
      </c>
      <c r="F23" s="50">
        <v>19803.889352891441</v>
      </c>
      <c r="G23" s="307">
        <f>((GETPIVOTDATA("COSTO",$A$15,"sost","Estatal","entidad","Chihuahua","Año",2022)/GETPIVOTDATA("COSTO",$A$15,"sost","Estatal","entidad","Chihuahua","Año",2021))-1)*100</f>
        <v>-18.768367805854382</v>
      </c>
      <c r="H23" s="322">
        <f>GETPIVOTDATA("COSTO",$A$15,"sost","Estatal","entidad","Chihuahua","Año",2022)-GETPIVOTDATA("COSTO",$A$15,"sost","Estatal","entidad","Chihuahua","Año",2021)</f>
        <v>-4575.63967781873</v>
      </c>
      <c r="I23" s="307">
        <f>((GETPIVOTDATA("COSTO",$A$15,"sost","Estatal","entidad","Chihuahua","Año",2022)/GETPIVOTDATA("COSTO",$A$15,"sost","Estatal","entidad","Chihuahua","Año",2018))-1)*100</f>
        <v>-0.18615528441144891</v>
      </c>
      <c r="J23" s="322">
        <f>GETPIVOTDATA("COSTO",$A$15,"sost","Estatal","entidad","Chihuahua","Año",2022)-GETPIVOTDATA("COSTO",$A$15,"sost","Estatal","entidad","Chihuahua","Año",2018)</f>
        <v>-36.934742524397734</v>
      </c>
      <c r="K23" s="2"/>
    </row>
    <row r="24" spans="1:11">
      <c r="A24" s="51" t="s">
        <v>31</v>
      </c>
      <c r="B24" s="50">
        <v>14475.43836362762</v>
      </c>
      <c r="C24" s="50">
        <v>14862.10814040472</v>
      </c>
      <c r="D24" s="50">
        <v>15653.432920806405</v>
      </c>
      <c r="E24" s="50">
        <v>16253.11475945866</v>
      </c>
      <c r="F24" s="50">
        <v>17700.530015248783</v>
      </c>
      <c r="G24" s="306">
        <f>((GETPIVOTDATA("COSTO",$A$15,"sost","Estatal","entidad","Coahuila de Zaragoza","Año",2022)/GETPIVOTDATA("COSTO",$A$15,"sost","Estatal","entidad","Coahuila de Zaragoza","Año",2021))-1)*100</f>
        <v>8.9054638277735965</v>
      </c>
      <c r="H24" s="321">
        <f>GETPIVOTDATA("COSTO",$A$15,"sost","Estatal","entidad","Coahuila de Zaragoza","Año",2022)-GETPIVOTDATA("COSTO",$A$15,"sost","Estatal","entidad","Coahuila de Zaragoza","Año",2021)</f>
        <v>1447.4152557901234</v>
      </c>
      <c r="I24" s="306">
        <f>((GETPIVOTDATA("COSTO",$A$15,"sost","Estatal","entidad","Coahuila de Zaragoza","Año",2022)/GETPIVOTDATA("COSTO",$A$15,"sost","Estatal","entidad","Coahuila de Zaragoza","Año",2018))-1)*100</f>
        <v>22.279751193752027</v>
      </c>
      <c r="J24" s="321">
        <f>GETPIVOTDATA("COSTO",$A$15,"sost","Estatal","entidad","Coahuila de Zaragoza","Año",2022)-GETPIVOTDATA("COSTO",$A$15,"sost","Estatal","entidad","Coahuila de Zaragoza","Año",2018)</f>
        <v>3225.0916516211637</v>
      </c>
      <c r="K24" s="2"/>
    </row>
    <row r="25" spans="1:11">
      <c r="A25" s="51" t="s">
        <v>8</v>
      </c>
      <c r="B25" s="50">
        <v>22200.208437334742</v>
      </c>
      <c r="C25" s="50">
        <v>22349.584772492246</v>
      </c>
      <c r="D25" s="50">
        <v>24506.63129799892</v>
      </c>
      <c r="E25" s="50">
        <v>26352.42878977273</v>
      </c>
      <c r="F25" s="50">
        <v>27977.306967698751</v>
      </c>
      <c r="G25" s="307">
        <f>((GETPIVOTDATA("COSTO",$A$15,"sost","Estatal","entidad","Colima","Año",2022)/GETPIVOTDATA("COSTO",$A$15,"sost","Estatal","entidad","Colima","Año",2021))-1)*100</f>
        <v>6.1659522577161008</v>
      </c>
      <c r="H25" s="322">
        <f>GETPIVOTDATA("COSTO",$A$15,"sost","Estatal","entidad","Colima","Año",2022)-GETPIVOTDATA("COSTO",$A$15,"sost","Estatal","entidad","Colima","Año",2021)</f>
        <v>1624.8781779260207</v>
      </c>
      <c r="I25" s="307">
        <f>((GETPIVOTDATA("COSTO",$A$15,"sost","Estatal","entidad","Colima","Año",2022)/GETPIVOTDATA("COSTO",$A$15,"sost","Estatal","entidad","Colima","Año",2018))-1)*100</f>
        <v>26.022722023854939</v>
      </c>
      <c r="J25" s="322">
        <f>GETPIVOTDATA("COSTO",$A$15,"sost","Estatal","entidad","Colima","Año",2022)-GETPIVOTDATA("COSTO",$A$15,"sost","Estatal","entidad","Colima","Año",2018)</f>
        <v>5777.0985303640082</v>
      </c>
      <c r="K25" s="2"/>
    </row>
    <row r="26" spans="1:11">
      <c r="A26" s="51" t="s">
        <v>9</v>
      </c>
      <c r="B26" s="50">
        <v>21306.329761658031</v>
      </c>
      <c r="C26" s="50">
        <v>22442.681504237287</v>
      </c>
      <c r="D26" s="50">
        <v>27781.550762023737</v>
      </c>
      <c r="E26" s="50">
        <v>28462.034953329185</v>
      </c>
      <c r="F26" s="50">
        <v>28467.200067508416</v>
      </c>
      <c r="G26" s="306">
        <f>((GETPIVOTDATA("COSTO",$A$15,"sost","Estatal","entidad","Durango","Año",2022)/GETPIVOTDATA("COSTO",$A$15,"sost","Estatal","entidad","Durango","Año",2021))-1)*100</f>
        <v>1.8147381899091819E-2</v>
      </c>
      <c r="H26" s="321">
        <f>GETPIVOTDATA("COSTO",$A$15,"sost","Estatal","entidad","Durango","Año",2022)-GETPIVOTDATA("COSTO",$A$15,"sost","Estatal","entidad","Durango","Año",2021)</f>
        <v>5.1651141792317503</v>
      </c>
      <c r="I26" s="306">
        <f>((GETPIVOTDATA("COSTO",$A$15,"sost","Estatal","entidad","Durango","Año",2022)/GETPIVOTDATA("COSTO",$A$15,"sost","Estatal","entidad","Durango","Año",2018))-1)*100</f>
        <v>33.609121730279348</v>
      </c>
      <c r="J26" s="321">
        <f>GETPIVOTDATA("COSTO",$A$15,"sost","Estatal","entidad","Durango","Año",2022)-GETPIVOTDATA("COSTO",$A$15,"sost","Estatal","entidad","Durango","Año",2018)</f>
        <v>7160.8703058503852</v>
      </c>
      <c r="K26" s="2"/>
    </row>
    <row r="27" spans="1:11">
      <c r="A27" s="51" t="s">
        <v>10</v>
      </c>
      <c r="B27" s="50">
        <v>14469.986588076328</v>
      </c>
      <c r="C27" s="50">
        <v>14838.47726967344</v>
      </c>
      <c r="D27" s="50">
        <v>16068.969653020327</v>
      </c>
      <c r="E27" s="50">
        <v>17764.911357672212</v>
      </c>
      <c r="F27" s="50">
        <v>16410.423872517618</v>
      </c>
      <c r="G27" s="307">
        <f>((GETPIVOTDATA("COSTO",$A$15,"sost","Estatal","entidad","Guanajuato","Año",2022)/GETPIVOTDATA("COSTO",$A$15,"sost","Estatal","entidad","Guanajuato","Año",2021))-1)*100</f>
        <v>-7.6245102375341993</v>
      </c>
      <c r="H27" s="322">
        <f>GETPIVOTDATA("COSTO",$A$15,"sost","Estatal","entidad","Guanajuato","Año",2022)-GETPIVOTDATA("COSTO",$A$15,"sost","Estatal","entidad","Guanajuato","Año",2021)</f>
        <v>-1354.4874851545937</v>
      </c>
      <c r="I27" s="307">
        <f>((GETPIVOTDATA("COSTO",$A$15,"sost","Estatal","entidad","Guanajuato","Año",2022)/GETPIVOTDATA("COSTO",$A$15,"sost","Estatal","entidad","Guanajuato","Año",2018))-1)*100</f>
        <v>13.410083503741909</v>
      </c>
      <c r="J27" s="322">
        <f>GETPIVOTDATA("COSTO",$A$15,"sost","Estatal","entidad","Guanajuato","Año",2022)-GETPIVOTDATA("COSTO",$A$15,"sost","Estatal","entidad","Guanajuato","Año",2018)</f>
        <v>1940.4372844412901</v>
      </c>
      <c r="K27" s="2"/>
    </row>
    <row r="28" spans="1:11">
      <c r="A28" s="51" t="s">
        <v>11</v>
      </c>
      <c r="B28" s="50">
        <v>23620.751222693187</v>
      </c>
      <c r="C28" s="50">
        <v>24558.011865524062</v>
      </c>
      <c r="D28" s="50">
        <v>25981.820680260738</v>
      </c>
      <c r="E28" s="50">
        <v>29190.557064283257</v>
      </c>
      <c r="F28" s="50">
        <v>27901.686589084573</v>
      </c>
      <c r="G28" s="306">
        <f>((GETPIVOTDATA("COSTO",$A$15,"sost","Estatal","entidad","Guerrero","Año",2022)/GETPIVOTDATA("COSTO",$A$15,"sost","Estatal","entidad","Guerrero","Año",2021))-1)*100</f>
        <v>-4.4153678614640368</v>
      </c>
      <c r="H28" s="321">
        <f>GETPIVOTDATA("COSTO",$A$15,"sost","Estatal","entidad","Guerrero","Año",2022)-GETPIVOTDATA("COSTO",$A$15,"sost","Estatal","entidad","Guerrero","Año",2021)</f>
        <v>-1288.8704751986843</v>
      </c>
      <c r="I28" s="306">
        <f>((GETPIVOTDATA("COSTO",$A$15,"sost","Estatal","entidad","Guerrero","Año",2022)/GETPIVOTDATA("COSTO",$A$15,"sost","Estatal","entidad","Guerrero","Año",2018))-1)*100</f>
        <v>18.123620735138001</v>
      </c>
      <c r="J28" s="321">
        <f>GETPIVOTDATA("COSTO",$A$15,"sost","Estatal","entidad","Guerrero","Año",2022)-GETPIVOTDATA("COSTO",$A$15,"sost","Estatal","entidad","Guerrero","Año",2018)</f>
        <v>4280.9353663913862</v>
      </c>
      <c r="K28" s="2"/>
    </row>
    <row r="29" spans="1:11">
      <c r="A29" s="51" t="s">
        <v>12</v>
      </c>
      <c r="B29" s="50">
        <v>18266.992961068485</v>
      </c>
      <c r="C29" s="50">
        <v>17967.945807327</v>
      </c>
      <c r="D29" s="50">
        <v>18532.730064102565</v>
      </c>
      <c r="E29" s="50">
        <v>19254.802377850163</v>
      </c>
      <c r="F29" s="50">
        <v>20292.503489932024</v>
      </c>
      <c r="G29" s="307">
        <f>((GETPIVOTDATA("COSTO",$A$15,"sost","Estatal","entidad","Hidalgo","Año",2022)/GETPIVOTDATA("COSTO",$A$15,"sost","Estatal","entidad","Hidalgo","Año",2021))-1)*100</f>
        <v>5.3893106338789742</v>
      </c>
      <c r="H29" s="322">
        <f>GETPIVOTDATA("COSTO",$A$15,"sost","Estatal","entidad","Hidalgo","Año",2022)-GETPIVOTDATA("COSTO",$A$15,"sost","Estatal","entidad","Hidalgo","Año",2021)</f>
        <v>1037.7011120818606</v>
      </c>
      <c r="I29" s="307">
        <f>((GETPIVOTDATA("COSTO",$A$15,"sost","Estatal","entidad","Hidalgo","Año",2022)/GETPIVOTDATA("COSTO",$A$15,"sost","Estatal","entidad","Hidalgo","Año",2018))-1)*100</f>
        <v>11.08836321982718</v>
      </c>
      <c r="J29" s="322">
        <f>GETPIVOTDATA("COSTO",$A$15,"sost","Estatal","entidad","Hidalgo","Año",2022)-GETPIVOTDATA("COSTO",$A$15,"sost","Estatal","entidad","Hidalgo","Año",2018)</f>
        <v>2025.5105288635386</v>
      </c>
      <c r="K29" s="2"/>
    </row>
    <row r="30" spans="1:11">
      <c r="A30" s="51" t="s">
        <v>13</v>
      </c>
      <c r="B30" s="50">
        <v>18500.742999790811</v>
      </c>
      <c r="C30" s="50">
        <v>19777.547281426705</v>
      </c>
      <c r="D30" s="50">
        <v>20936.995296494966</v>
      </c>
      <c r="E30" s="50">
        <v>21551.870336461438</v>
      </c>
      <c r="F30" s="50">
        <v>23375.224474064082</v>
      </c>
      <c r="G30" s="306">
        <f>((GETPIVOTDATA("COSTO",$A$15,"sost","Estatal","entidad","Jalisco","Año",2022)/GETPIVOTDATA("COSTO",$A$15,"sost","Estatal","entidad","Jalisco","Año",2021))-1)*100</f>
        <v>8.4603058070458648</v>
      </c>
      <c r="H30" s="321">
        <f>GETPIVOTDATA("COSTO",$A$15,"sost","Estatal","entidad","Jalisco","Año",2022)-GETPIVOTDATA("COSTO",$A$15,"sost","Estatal","entidad","Jalisco","Año",2021)</f>
        <v>1823.3541376026442</v>
      </c>
      <c r="I30" s="306">
        <f>((GETPIVOTDATA("COSTO",$A$15,"sost","Estatal","entidad","Jalisco","Año",2022)/GETPIVOTDATA("COSTO",$A$15,"sost","Estatal","entidad","Jalisco","Año",2018))-1)*100</f>
        <v>26.347490337703672</v>
      </c>
      <c r="J30" s="321">
        <f>GETPIVOTDATA("COSTO",$A$15,"sost","Estatal","entidad","Jalisco","Año",2022)-GETPIVOTDATA("COSTO",$A$15,"sost","Estatal","entidad","Jalisco","Año",2018)</f>
        <v>4874.4814742732706</v>
      </c>
      <c r="K30" s="2"/>
    </row>
    <row r="31" spans="1:11">
      <c r="A31" s="51" t="s">
        <v>14</v>
      </c>
      <c r="B31" s="50">
        <v>15875.003503734924</v>
      </c>
      <c r="C31" s="50">
        <v>16626.252339644267</v>
      </c>
      <c r="D31" s="50">
        <v>17453.154923633272</v>
      </c>
      <c r="E31" s="50">
        <v>17134.503095421514</v>
      </c>
      <c r="F31" s="50">
        <v>17798.240853625186</v>
      </c>
      <c r="G31" s="307">
        <f>((GETPIVOTDATA("COSTO",$A$15,"sost","Estatal","entidad","México","Año",2022)/GETPIVOTDATA("COSTO",$A$15,"sost","Estatal","entidad","México","Año",2021))-1)*100</f>
        <v>3.8736913145793306</v>
      </c>
      <c r="H31" s="322">
        <f>GETPIVOTDATA("COSTO",$A$15,"sost","Estatal","entidad","México","Año",2022)-GETPIVOTDATA("COSTO",$A$15,"sost","Estatal","entidad","México","Año",2021)</f>
        <v>663.73775820367155</v>
      </c>
      <c r="I31" s="307">
        <f>((GETPIVOTDATA("COSTO",$A$15,"sost","Estatal","entidad","México","Año",2022)/GETPIVOTDATA("COSTO",$A$15,"sost","Estatal","entidad","México","Año",2018))-1)*100</f>
        <v>12.114878270343565</v>
      </c>
      <c r="J31" s="322">
        <f>GETPIVOTDATA("COSTO",$A$15,"sost","Estatal","entidad","México","Año",2022)-GETPIVOTDATA("COSTO",$A$15,"sost","Estatal","entidad","México","Año",2018)</f>
        <v>1923.2373498902616</v>
      </c>
      <c r="K31" s="2"/>
    </row>
    <row r="32" spans="1:11">
      <c r="A32" s="51" t="s">
        <v>30</v>
      </c>
      <c r="B32" s="50">
        <v>18728.121467484441</v>
      </c>
      <c r="C32" s="50">
        <v>19230.256467406005</v>
      </c>
      <c r="D32" s="50">
        <v>20112.250054239739</v>
      </c>
      <c r="E32" s="50">
        <v>20236.695837837837</v>
      </c>
      <c r="F32" s="50">
        <v>20282.664722061967</v>
      </c>
      <c r="G32" s="306">
        <f>((GETPIVOTDATA("COSTO",$A$15,"sost","Estatal","entidad","Michoacán de Ocampo","Año",2022)/GETPIVOTDATA("COSTO",$A$15,"sost","Estatal","entidad","Michoacán de Ocampo","Año",2021))-1)*100</f>
        <v>0.22715607623147172</v>
      </c>
      <c r="H32" s="321">
        <f>GETPIVOTDATA("COSTO",$A$15,"sost","Estatal","entidad","Michoacán de Ocampo","Año",2022)-GETPIVOTDATA("COSTO",$A$15,"sost","Estatal","entidad","Michoacán de Ocampo","Año",2021)</f>
        <v>45.968884224130306</v>
      </c>
      <c r="I32" s="306">
        <f>((GETPIVOTDATA("COSTO",$A$15,"sost","Estatal","entidad","Michoacán de Ocampo","Año",2022)/GETPIVOTDATA("COSTO",$A$15,"sost","Estatal","entidad","Michoacán de Ocampo","Año",2018))-1)*100</f>
        <v>8.3005829350076823</v>
      </c>
      <c r="J32" s="321">
        <f>GETPIVOTDATA("COSTO",$A$15,"sost","Estatal","entidad","Michoacán de Ocampo","Año",2022)-GETPIVOTDATA("COSTO",$A$15,"sost","Estatal","entidad","Michoacán de Ocampo","Año",2018)</f>
        <v>1554.5432545775257</v>
      </c>
      <c r="K32" s="2"/>
    </row>
    <row r="33" spans="1:11">
      <c r="A33" s="51" t="s">
        <v>15</v>
      </c>
      <c r="B33" s="50">
        <v>15161.052296336207</v>
      </c>
      <c r="C33" s="50">
        <v>16032.17444493587</v>
      </c>
      <c r="D33" s="50">
        <v>17531.968163594469</v>
      </c>
      <c r="E33" s="50">
        <v>18324.74806172551</v>
      </c>
      <c r="F33" s="50">
        <v>18237.97222888147</v>
      </c>
      <c r="G33" s="307">
        <f>((GETPIVOTDATA("COSTO",$A$15,"sost","Estatal","entidad","Morelos","Año",2022)/GETPIVOTDATA("COSTO",$A$15,"sost","Estatal","entidad","Morelos","Año",2021))-1)*100</f>
        <v>-0.47354447958434243</v>
      </c>
      <c r="H33" s="322">
        <f>GETPIVOTDATA("COSTO",$A$15,"sost","Estatal","entidad","Morelos","Año",2022)-GETPIVOTDATA("COSTO",$A$15,"sost","Estatal","entidad","Morelos","Año",2021)</f>
        <v>-86.775832844039542</v>
      </c>
      <c r="I33" s="307">
        <f>((GETPIVOTDATA("COSTO",$A$15,"sost","Estatal","entidad","Morelos","Año",2022)/GETPIVOTDATA("COSTO",$A$15,"sost","Estatal","entidad","Morelos","Año",2018))-1)*100</f>
        <v>20.294896900321536</v>
      </c>
      <c r="J33" s="322">
        <f>GETPIVOTDATA("COSTO",$A$15,"sost","Estatal","entidad","Morelos","Año",2022)-GETPIVOTDATA("COSTO",$A$15,"sost","Estatal","entidad","Morelos","Año",2018)</f>
        <v>3076.9199325452628</v>
      </c>
      <c r="K33" s="2"/>
    </row>
    <row r="34" spans="1:11">
      <c r="A34" s="51" t="s">
        <v>16</v>
      </c>
      <c r="B34" s="50">
        <v>18960.886209735148</v>
      </c>
      <c r="C34" s="50">
        <v>18569.85141785958</v>
      </c>
      <c r="D34" s="50">
        <v>19703.982090532136</v>
      </c>
      <c r="E34" s="50">
        <v>18998.743672431334</v>
      </c>
      <c r="F34" s="50">
        <v>17147.893413983245</v>
      </c>
      <c r="G34" s="306">
        <f>((GETPIVOTDATA("COSTO",$A$15,"sost","Estatal","entidad","Nayarit","Año",2022)/GETPIVOTDATA("COSTO",$A$15,"sost","Estatal","entidad","Nayarit","Año",2021))-1)*100</f>
        <v>-9.7419613125988782</v>
      </c>
      <c r="H34" s="321">
        <f>GETPIVOTDATA("COSTO",$A$15,"sost","Estatal","entidad","Nayarit","Año",2022)-GETPIVOTDATA("COSTO",$A$15,"sost","Estatal","entidad","Nayarit","Año",2021)</f>
        <v>-1850.8502584480884</v>
      </c>
      <c r="I34" s="306">
        <f>((GETPIVOTDATA("COSTO",$A$15,"sost","Estatal","entidad","Nayarit","Año",2022)/GETPIVOTDATA("COSTO",$A$15,"sost","Estatal","entidad","Nayarit","Año",2018))-1)*100</f>
        <v>-9.5617513638210241</v>
      </c>
      <c r="J34" s="321">
        <f>GETPIVOTDATA("COSTO",$A$15,"sost","Estatal","entidad","Nayarit","Año",2022)-GETPIVOTDATA("COSTO",$A$15,"sost","Estatal","entidad","Nayarit","Año",2018)</f>
        <v>-1812.992795751903</v>
      </c>
      <c r="K34" s="2"/>
    </row>
    <row r="35" spans="1:11">
      <c r="A35" s="51" t="s">
        <v>17</v>
      </c>
      <c r="B35" s="50">
        <v>11416.287714526869</v>
      </c>
      <c r="C35" s="50">
        <v>11221.902363530256</v>
      </c>
      <c r="D35" s="50">
        <v>11839.870435732822</v>
      </c>
      <c r="E35" s="50">
        <v>12314.40878508678</v>
      </c>
      <c r="F35" s="50">
        <v>12354.68140019095</v>
      </c>
      <c r="G35" s="307">
        <f>((GETPIVOTDATA("COSTO",$A$15,"sost","Estatal","entidad","Nuevo León","Año",2022)/GETPIVOTDATA("COSTO",$A$15,"sost","Estatal","entidad","Nuevo León","Año",2021))-1)*100</f>
        <v>0.32703652937802197</v>
      </c>
      <c r="H35" s="322">
        <f>GETPIVOTDATA("COSTO",$A$15,"sost","Estatal","entidad","Nuevo León","Año",2022)-GETPIVOTDATA("COSTO",$A$15,"sost","Estatal","entidad","Nuevo León","Año",2021)</f>
        <v>40.272615104169745</v>
      </c>
      <c r="I35" s="307">
        <f>((GETPIVOTDATA("COSTO",$A$15,"sost","Estatal","entidad","Nuevo León","Año",2022)/GETPIVOTDATA("COSTO",$A$15,"sost","Estatal","entidad","Nuevo León","Año",2018))-1)*100</f>
        <v>8.2197795739678448</v>
      </c>
      <c r="J35" s="322">
        <f>GETPIVOTDATA("COSTO",$A$15,"sost","Estatal","entidad","Nuevo León","Año",2022)-GETPIVOTDATA("COSTO",$A$15,"sost","Estatal","entidad","Nuevo León","Año",2018)</f>
        <v>938.3936856640812</v>
      </c>
      <c r="K35" s="2"/>
    </row>
    <row r="36" spans="1:11">
      <c r="A36" s="51" t="s">
        <v>18</v>
      </c>
      <c r="B36" s="50">
        <v>20667.194279753763</v>
      </c>
      <c r="C36" s="50">
        <v>21614.535038178536</v>
      </c>
      <c r="D36" s="50">
        <v>22272.070343839543</v>
      </c>
      <c r="E36" s="50">
        <v>22049.218882615543</v>
      </c>
      <c r="F36" s="50">
        <v>25082.843840403195</v>
      </c>
      <c r="G36" s="306">
        <f>((GETPIVOTDATA("COSTO",$A$15,"sost","Estatal","entidad","Puebla","Año",2022)/GETPIVOTDATA("COSTO",$A$15,"sost","Estatal","entidad","Puebla","Año",2021))-1)*100</f>
        <v>13.758423706245114</v>
      </c>
      <c r="H36" s="321">
        <f>GETPIVOTDATA("COSTO",$A$15,"sost","Estatal","entidad","Puebla","Año",2022)-GETPIVOTDATA("COSTO",$A$15,"sost","Estatal","entidad","Puebla","Año",2021)</f>
        <v>3033.6249577876515</v>
      </c>
      <c r="I36" s="306">
        <f>((GETPIVOTDATA("COSTO",$A$15,"sost","Estatal","entidad","Puebla","Año",2022)/GETPIVOTDATA("COSTO",$A$15,"sost","Estatal","entidad","Puebla","Año",2018))-1)*100</f>
        <v>21.365500807117989</v>
      </c>
      <c r="J36" s="321">
        <f>GETPIVOTDATA("COSTO",$A$15,"sost","Estatal","entidad","Puebla","Año",2022)-GETPIVOTDATA("COSTO",$A$15,"sost","Estatal","entidad","Puebla","Año",2018)</f>
        <v>4415.6495606494318</v>
      </c>
      <c r="K36" s="2"/>
    </row>
    <row r="37" spans="1:11">
      <c r="A37" s="51" t="s">
        <v>29</v>
      </c>
      <c r="B37" s="50">
        <v>15501.215172761302</v>
      </c>
      <c r="C37" s="50">
        <v>16350.929312278629</v>
      </c>
      <c r="D37" s="50">
        <v>16527.010171330669</v>
      </c>
      <c r="E37" s="50">
        <v>19341.840191657273</v>
      </c>
      <c r="F37" s="50">
        <v>16794.867037211112</v>
      </c>
      <c r="G37" s="307">
        <f>((GETPIVOTDATA("COSTO",$A$15,"sost","Estatal","entidad","Querétaro de Arteaga","Año",2022)/GETPIVOTDATA("COSTO",$A$15,"sost","Estatal","entidad","Querétaro de Arteaga","Año",2021))-1)*100</f>
        <v>-13.168204934010097</v>
      </c>
      <c r="H37" s="322">
        <f>GETPIVOTDATA("COSTO",$A$15,"sost","Estatal","entidad","Querétaro de Arteaga","Año",2022)-GETPIVOTDATA("COSTO",$A$15,"sost","Estatal","entidad","Querétaro de Arteaga","Año",2021)</f>
        <v>-2546.9731544461611</v>
      </c>
      <c r="I37" s="307">
        <f>((GETPIVOTDATA("COSTO",$A$15,"sost","Estatal","entidad","Querétaro de Arteaga","Año",2022)/GETPIVOTDATA("COSTO",$A$15,"sost","Estatal","entidad","Querétaro de Arteaga","Año",2018))-1)*100</f>
        <v>8.3454867894680476</v>
      </c>
      <c r="J37" s="322">
        <f>GETPIVOTDATA("COSTO",$A$15,"sost","Estatal","entidad","Querétaro de Arteaga","Año",2022)-GETPIVOTDATA("COSTO",$A$15,"sost","Estatal","entidad","Querétaro de Arteaga","Año",2018)</f>
        <v>1293.6518644498101</v>
      </c>
      <c r="K37" s="2"/>
    </row>
    <row r="38" spans="1:11">
      <c r="A38" s="51" t="s">
        <v>19</v>
      </c>
      <c r="B38" s="50">
        <v>11722.732380093132</v>
      </c>
      <c r="C38" s="50">
        <v>12767.692292051757</v>
      </c>
      <c r="D38" s="50">
        <v>12589.6560257451</v>
      </c>
      <c r="E38" s="50">
        <v>11452.21719629156</v>
      </c>
      <c r="F38" s="50">
        <v>12066.672889169771</v>
      </c>
      <c r="G38" s="306">
        <f>((GETPIVOTDATA("COSTO",$A$15,"sost","Estatal","entidad","Quintana Roo","Año",2022)/GETPIVOTDATA("COSTO",$A$15,"sost","Estatal","entidad","Quintana Roo","Año",2021))-1)*100</f>
        <v>5.3653863033368276</v>
      </c>
      <c r="H38" s="321">
        <f>GETPIVOTDATA("COSTO",$A$15,"sost","Estatal","entidad","Quintana Roo","Año",2022)-GETPIVOTDATA("COSTO",$A$15,"sost","Estatal","entidad","Quintana Roo","Año",2021)</f>
        <v>614.45569287821127</v>
      </c>
      <c r="I38" s="306">
        <f>((GETPIVOTDATA("COSTO",$A$15,"sost","Estatal","entidad","Quintana Roo","Año",2022)/GETPIVOTDATA("COSTO",$A$15,"sost","Estatal","entidad","Quintana Roo","Año",2018))-1)*100</f>
        <v>2.9339619631742142</v>
      </c>
      <c r="J38" s="321">
        <f>GETPIVOTDATA("COSTO",$A$15,"sost","Estatal","entidad","Quintana Roo","Año",2022)-GETPIVOTDATA("COSTO",$A$15,"sost","Estatal","entidad","Quintana Roo","Año",2018)</f>
        <v>343.9405090766395</v>
      </c>
      <c r="K38" s="2"/>
    </row>
    <row r="39" spans="1:11">
      <c r="A39" s="51" t="s">
        <v>20</v>
      </c>
      <c r="B39" s="50">
        <v>16777.226165620839</v>
      </c>
      <c r="C39" s="50">
        <v>17741.152580582144</v>
      </c>
      <c r="D39" s="50">
        <v>19901.78987641391</v>
      </c>
      <c r="E39" s="50">
        <v>19890.714788967824</v>
      </c>
      <c r="F39" s="50">
        <v>20185.555999119621</v>
      </c>
      <c r="G39" s="307">
        <f>((GETPIVOTDATA("COSTO",$A$15,"sost","Estatal","entidad","San Luis Potosí","Año",2022)/GETPIVOTDATA("COSTO",$A$15,"sost","Estatal","entidad","San Luis Potosí","Año",2021))-1)*100</f>
        <v>1.4823057556248687</v>
      </c>
      <c r="H39" s="322">
        <f>GETPIVOTDATA("COSTO",$A$15,"sost","Estatal","entidad","San Luis Potosí","Año",2022)-GETPIVOTDATA("COSTO",$A$15,"sost","Estatal","entidad","San Luis Potosí","Año",2021)</f>
        <v>294.84121015179699</v>
      </c>
      <c r="I39" s="307">
        <f>((GETPIVOTDATA("COSTO",$A$15,"sost","Estatal","entidad","San Luis Potosí","Año",2022)/GETPIVOTDATA("COSTO",$A$15,"sost","Estatal","entidad","San Luis Potosí","Año",2018))-1)*100</f>
        <v>20.31521659094626</v>
      </c>
      <c r="J39" s="322">
        <f>GETPIVOTDATA("COSTO",$A$15,"sost","Estatal","entidad","San Luis Potosí","Año",2022)-GETPIVOTDATA("COSTO",$A$15,"sost","Estatal","entidad","San Luis Potosí","Año",2018)</f>
        <v>3408.3298334987812</v>
      </c>
      <c r="K39" s="2"/>
    </row>
    <row r="40" spans="1:11">
      <c r="A40" s="51" t="s">
        <v>21</v>
      </c>
      <c r="B40" s="50">
        <v>28739.282518014876</v>
      </c>
      <c r="C40" s="50">
        <v>29403.822205644228</v>
      </c>
      <c r="D40" s="50">
        <v>32376.222225073314</v>
      </c>
      <c r="E40" s="50">
        <v>37763.753218884121</v>
      </c>
      <c r="F40" s="50">
        <v>32104.265346687491</v>
      </c>
      <c r="G40" s="306">
        <f>((GETPIVOTDATA("COSTO",$A$15,"sost","Estatal","entidad","Sinaloa","Año",2022)/GETPIVOTDATA("COSTO",$A$15,"sost","Estatal","entidad","Sinaloa","Año",2021))-1)*100</f>
        <v>-14.986560894499624</v>
      </c>
      <c r="H40" s="321">
        <f>GETPIVOTDATA("COSTO",$A$15,"sost","Estatal","entidad","Sinaloa","Año",2022)-GETPIVOTDATA("COSTO",$A$15,"sost","Estatal","entidad","Sinaloa","Año",2021)</f>
        <v>-5659.4878721966306</v>
      </c>
      <c r="I40" s="306">
        <f>((GETPIVOTDATA("COSTO",$A$15,"sost","Estatal","entidad","Sinaloa","Año",2022)/GETPIVOTDATA("COSTO",$A$15,"sost","Estatal","entidad","Sinaloa","Año",2018))-1)*100</f>
        <v>11.708652874557025</v>
      </c>
      <c r="J40" s="321">
        <f>GETPIVOTDATA("COSTO",$A$15,"sost","Estatal","entidad","Sinaloa","Año",2022)-GETPIVOTDATA("COSTO",$A$15,"sost","Estatal","entidad","Sinaloa","Año",2018)</f>
        <v>3364.9828286726151</v>
      </c>
      <c r="K40" s="2"/>
    </row>
    <row r="41" spans="1:11">
      <c r="A41" s="51" t="s">
        <v>22</v>
      </c>
      <c r="B41" s="50">
        <v>15307.284243558614</v>
      </c>
      <c r="C41" s="50">
        <v>15743.494084051725</v>
      </c>
      <c r="D41" s="50">
        <v>15853.001389194435</v>
      </c>
      <c r="E41" s="50">
        <v>16115.680650353735</v>
      </c>
      <c r="F41" s="50">
        <v>16592.925983955331</v>
      </c>
      <c r="G41" s="307">
        <f>((GETPIVOTDATA("COSTO",$A$15,"sost","Estatal","entidad","Sonora","Año",2022)/GETPIVOTDATA("COSTO",$A$15,"sost","Estatal","entidad","Sonora","Año",2021))-1)*100</f>
        <v>2.9613724915250161</v>
      </c>
      <c r="H41" s="322">
        <f>GETPIVOTDATA("COSTO",$A$15,"sost","Estatal","entidad","Sonora","Año",2022)-GETPIVOTDATA("COSTO",$A$15,"sost","Estatal","entidad","Sonora","Año",2021)</f>
        <v>477.24533360159512</v>
      </c>
      <c r="I41" s="307">
        <f>((GETPIVOTDATA("COSTO",$A$15,"sost","Estatal","entidad","Sonora","Año",2022)/GETPIVOTDATA("COSTO",$A$15,"sost","Estatal","entidad","Sonora","Año",2018))-1)*100</f>
        <v>8.3988885287586079</v>
      </c>
      <c r="J41" s="322">
        <f>GETPIVOTDATA("COSTO",$A$15,"sost","Estatal","entidad","Sonora","Año",2022)-GETPIVOTDATA("COSTO",$A$15,"sost","Estatal","entidad","Sonora","Año",2018)</f>
        <v>1285.6417403967171</v>
      </c>
      <c r="K41" s="2"/>
    </row>
    <row r="42" spans="1:11">
      <c r="A42" s="51" t="s">
        <v>23</v>
      </c>
      <c r="B42" s="50">
        <v>20120.386208987162</v>
      </c>
      <c r="C42" s="50">
        <v>21218.972241284904</v>
      </c>
      <c r="D42" s="50">
        <v>23237.756502284847</v>
      </c>
      <c r="E42" s="50">
        <v>23070.991217087092</v>
      </c>
      <c r="F42" s="50">
        <v>23260.124580706408</v>
      </c>
      <c r="G42" s="306">
        <f>((GETPIVOTDATA("COSTO",$A$15,"sost","Estatal","entidad","Tabasco","Año",2022)/GETPIVOTDATA("COSTO",$A$15,"sost","Estatal","entidad","Tabasco","Año",2021))-1)*100</f>
        <v>0.81978863343867836</v>
      </c>
      <c r="H42" s="321">
        <f>GETPIVOTDATA("COSTO",$A$15,"sost","Estatal","entidad","Tabasco","Año",2022)-GETPIVOTDATA("COSTO",$A$15,"sost","Estatal","entidad","Tabasco","Año",2021)</f>
        <v>189.13336361931579</v>
      </c>
      <c r="I42" s="306">
        <f>((GETPIVOTDATA("COSTO",$A$15,"sost","Estatal","entidad","Tabasco","Año",2022)/GETPIVOTDATA("COSTO",$A$15,"sost","Estatal","entidad","Tabasco","Año",2018))-1)*100</f>
        <v>15.604761951919288</v>
      </c>
      <c r="J42" s="321">
        <f>GETPIVOTDATA("COSTO",$A$15,"sost","Estatal","entidad","Tabasco","Año",2022)-GETPIVOTDATA("COSTO",$A$15,"sost","Estatal","entidad","Tabasco","Año",2018)</f>
        <v>3139.7383717192461</v>
      </c>
      <c r="K42" s="2"/>
    </row>
    <row r="43" spans="1:11">
      <c r="A43" s="51" t="s">
        <v>24</v>
      </c>
      <c r="B43" s="50">
        <v>20521.37195769366</v>
      </c>
      <c r="C43" s="50">
        <v>22906.177079151315</v>
      </c>
      <c r="D43" s="50">
        <v>24854.217001447942</v>
      </c>
      <c r="E43" s="50">
        <v>27543.509840948525</v>
      </c>
      <c r="F43" s="50">
        <v>26121.793926962444</v>
      </c>
      <c r="G43" s="307">
        <f>((GETPIVOTDATA("COSTO",$A$15,"sost","Estatal","entidad","Tamaulipas","Año",2022)/GETPIVOTDATA("COSTO",$A$15,"sost","Estatal","entidad","Tamaulipas","Año",2021))-1)*100</f>
        <v>-5.1617093180784002</v>
      </c>
      <c r="H43" s="322">
        <f>GETPIVOTDATA("COSTO",$A$15,"sost","Estatal","entidad","Tamaulipas","Año",2022)-GETPIVOTDATA("COSTO",$A$15,"sost","Estatal","entidad","Tamaulipas","Año",2021)</f>
        <v>-1421.7159139860814</v>
      </c>
      <c r="I43" s="307">
        <f>((GETPIVOTDATA("COSTO",$A$15,"sost","Estatal","entidad","Tamaulipas","Año",2022)/GETPIVOTDATA("COSTO",$A$15,"sost","Estatal","entidad","Tamaulipas","Año",2018))-1)*100</f>
        <v>27.290680081304863</v>
      </c>
      <c r="J43" s="322">
        <f>GETPIVOTDATA("COSTO",$A$15,"sost","Estatal","entidad","Tamaulipas","Año",2022)-GETPIVOTDATA("COSTO",$A$15,"sost","Estatal","entidad","Tamaulipas","Año",2018)</f>
        <v>5600.4219692687839</v>
      </c>
      <c r="K43" s="2"/>
    </row>
    <row r="44" spans="1:11">
      <c r="A44" s="51" t="s">
        <v>25</v>
      </c>
      <c r="B44" s="50">
        <v>13235.045739480198</v>
      </c>
      <c r="C44" s="50">
        <v>13878.711612598425</v>
      </c>
      <c r="D44" s="50">
        <v>14541.922340358602</v>
      </c>
      <c r="E44" s="50">
        <v>15508.050222504768</v>
      </c>
      <c r="F44" s="50">
        <v>15927.521797978885</v>
      </c>
      <c r="G44" s="306">
        <f>((GETPIVOTDATA("COSTO",$A$15,"sost","Estatal","entidad","Tlaxcala","Año",2022)/GETPIVOTDATA("COSTO",$A$15,"sost","Estatal","entidad","Tlaxcala","Año",2021))-1)*100</f>
        <v>2.7048634061385357</v>
      </c>
      <c r="H44" s="321">
        <f>GETPIVOTDATA("COSTO",$A$15,"sost","Estatal","entidad","Tlaxcala","Año",2022)-GETPIVOTDATA("COSTO",$A$15,"sost","Estatal","entidad","Tlaxcala","Año",2021)</f>
        <v>419.47157547411734</v>
      </c>
      <c r="I44" s="306">
        <f>((GETPIVOTDATA("COSTO",$A$15,"sost","Estatal","entidad","Tlaxcala","Año",2022)/GETPIVOTDATA("COSTO",$A$15,"sost","Estatal","entidad","Tlaxcala","Año",2018))-1)*100</f>
        <v>20.343534215881242</v>
      </c>
      <c r="J44" s="321">
        <f>GETPIVOTDATA("COSTO",$A$15,"sost","Estatal","entidad","Tlaxcala","Año",2022)-GETPIVOTDATA("COSTO",$A$15,"sost","Estatal","entidad","Tlaxcala","Año",2018)</f>
        <v>2692.4760584986871</v>
      </c>
      <c r="K44" s="2"/>
    </row>
    <row r="45" spans="1:11">
      <c r="A45" s="51" t="s">
        <v>53</v>
      </c>
      <c r="B45" s="50">
        <v>26472.960166516143</v>
      </c>
      <c r="C45" s="50">
        <v>26338.352976216451</v>
      </c>
      <c r="D45" s="50">
        <v>24431.515395551258</v>
      </c>
      <c r="E45" s="50">
        <v>22970.058022860136</v>
      </c>
      <c r="F45" s="50">
        <v>22519.098669913205</v>
      </c>
      <c r="G45" s="307">
        <f>((GETPIVOTDATA("COSTO",$A$15,"sost","Estatal","entidad","Veracruz llave","Año",2022)/GETPIVOTDATA("COSTO",$A$15,"sost","Estatal","entidad","Veracruz llave","Año",2021))-1)*100</f>
        <v>-1.9632486452499598</v>
      </c>
      <c r="H45" s="322">
        <f>GETPIVOTDATA("COSTO",$A$15,"sost","Estatal","entidad","Veracruz llave","Año",2022)-GETPIVOTDATA("COSTO",$A$15,"sost","Estatal","entidad","Veracruz llave","Año",2021)</f>
        <v>-450.95935294693118</v>
      </c>
      <c r="I45" s="307">
        <f>((GETPIVOTDATA("COSTO",$A$15,"sost","Estatal","entidad","Veracruz llave","Año",2022)/GETPIVOTDATA("COSTO",$A$15,"sost","Estatal","entidad","Veracruz llave","Año",2018))-1)*100</f>
        <v>-14.935471786052512</v>
      </c>
      <c r="J45" s="322">
        <f>GETPIVOTDATA("COSTO",$A$15,"sost","Estatal","entidad","Veracruz llave","Año",2022)-GETPIVOTDATA("COSTO",$A$15,"sost","Estatal","entidad","Veracruz llave","Año",2018)</f>
        <v>-3953.8614966029381</v>
      </c>
      <c r="K45" s="2"/>
    </row>
    <row r="46" spans="1:11">
      <c r="A46" s="51" t="s">
        <v>26</v>
      </c>
      <c r="B46" s="50">
        <v>20644.926250235716</v>
      </c>
      <c r="C46" s="50">
        <v>21508.818971515964</v>
      </c>
      <c r="D46" s="50">
        <v>21751.312555123215</v>
      </c>
      <c r="E46" s="50">
        <v>23714.19398752127</v>
      </c>
      <c r="F46" s="50">
        <v>21934.630435626623</v>
      </c>
      <c r="G46" s="306">
        <f>((GETPIVOTDATA("COSTO",$A$15,"sost","Estatal","entidad","Yucatán","Año",2022)/GETPIVOTDATA("COSTO",$A$15,"sost","Estatal","entidad","Yucatán","Año",2021))-1)*100</f>
        <v>-7.5042126788330998</v>
      </c>
      <c r="H46" s="321">
        <f>GETPIVOTDATA("COSTO",$A$15,"sost","Estatal","entidad","Yucatán","Año",2022)-GETPIVOTDATA("COSTO",$A$15,"sost","Estatal","entidad","Yucatán","Año",2021)</f>
        <v>-1779.5635518946474</v>
      </c>
      <c r="I46" s="306">
        <f>((GETPIVOTDATA("COSTO",$A$15,"sost","Estatal","entidad","Yucatán","Año",2022)/GETPIVOTDATA("COSTO",$A$15,"sost","Estatal","entidad","Yucatán","Año",2018))-1)*100</f>
        <v>6.2470757694093493</v>
      </c>
      <c r="J46" s="321">
        <f>GETPIVOTDATA("COSTO",$A$15,"sost","Estatal","entidad","Yucatán","Año",2022)-GETPIVOTDATA("COSTO",$A$15,"sost","Estatal","entidad","Yucatán","Año",2018)</f>
        <v>1289.7041853909068</v>
      </c>
      <c r="K46" s="2"/>
    </row>
    <row r="47" spans="1:11">
      <c r="A47" s="51" t="s">
        <v>27</v>
      </c>
      <c r="B47" s="50">
        <v>27277.610445383616</v>
      </c>
      <c r="C47" s="50">
        <v>29389.170108991824</v>
      </c>
      <c r="D47" s="50">
        <v>34339.354756097557</v>
      </c>
      <c r="E47" s="50">
        <v>36966.57293868922</v>
      </c>
      <c r="F47" s="50">
        <v>31661.986307496165</v>
      </c>
      <c r="G47" s="307">
        <f>((GETPIVOTDATA("COSTO",$A$15,"sost","Estatal","entidad","Zacatecas","Año",2022)/GETPIVOTDATA("COSTO",$A$15,"sost","Estatal","entidad","Zacatecas","Año",2021))-1)*100</f>
        <v>-14.349684619104286</v>
      </c>
      <c r="H47" s="322">
        <f>GETPIVOTDATA("COSTO",$A$15,"sost","Estatal","entidad","Zacatecas","Año",2022)-GETPIVOTDATA("COSTO",$A$15,"sost","Estatal","entidad","Zacatecas","Año",2021)</f>
        <v>-5304.5866311930549</v>
      </c>
      <c r="I47" s="307">
        <f>((GETPIVOTDATA("COSTO",$A$15,"sost","Estatal","entidad","Zacatecas","Año",2022)/GETPIVOTDATA("COSTO",$A$15,"sost","Estatal","entidad","Zacatecas","Año",2018))-1)*100</f>
        <v>16.073166932606252</v>
      </c>
      <c r="J47" s="322">
        <f>GETPIVOTDATA("COSTO",$A$15,"sost","Estatal","entidad","Zacatecas","Año",2022)-GETPIVOTDATA("COSTO",$A$15,"sost","Estatal","entidad","Zacatecas","Año",2018)</f>
        <v>4384.3758621125489</v>
      </c>
      <c r="K47" s="2"/>
    </row>
    <row r="48" spans="1:11">
      <c r="A48" s="49" t="s">
        <v>50</v>
      </c>
      <c r="B48" s="87">
        <v>17760.170804161033</v>
      </c>
      <c r="C48" s="87">
        <v>17965.140331667695</v>
      </c>
      <c r="D48" s="87">
        <v>17244.703397857978</v>
      </c>
      <c r="E48" s="87">
        <v>18355.54206813264</v>
      </c>
      <c r="F48" s="87">
        <v>20692.425294535664</v>
      </c>
      <c r="G48" s="308">
        <f>((GETPIVOTDATA("COSTO",$A$15,"sost","Federal","Año",2022)/GETPIVOTDATA("COSTO",$A$15,"sost","Federal","Año",2021))-1)*100</f>
        <v>12.731213372663763</v>
      </c>
      <c r="H48" s="323">
        <f>GETPIVOTDATA("COSTO",$A$15,"sost","Federal","Año",2022)-GETPIVOTDATA("COSTO",$A$15,"sost","Federal","Año",2021)</f>
        <v>2336.8832264030243</v>
      </c>
      <c r="I48" s="308">
        <f>((GETPIVOTDATA("COSTO",$A$15,"sost","Federal","Año",2022)/GETPIVOTDATA("COSTO",$A$15,"sost","Federal","Año",2018))-1)*100</f>
        <v>16.51028316511254</v>
      </c>
      <c r="J48" s="323">
        <f>GETPIVOTDATA("COSTO",$A$15,"sost","Federal","Año",2022)-GETPIVOTDATA("COSTO",$A$15,"sost","Federal","Año",2018)</f>
        <v>2932.2544903746311</v>
      </c>
      <c r="K48" s="2"/>
    </row>
    <row r="49" spans="1:11">
      <c r="A49" s="51" t="s">
        <v>32</v>
      </c>
      <c r="B49" s="50">
        <v>15731.198239396754</v>
      </c>
      <c r="C49" s="50">
        <v>15974.230429537229</v>
      </c>
      <c r="D49" s="50">
        <v>15269.942742204343</v>
      </c>
      <c r="E49" s="50">
        <v>15986.546811422024</v>
      </c>
      <c r="F49" s="50">
        <v>18480.971353631805</v>
      </c>
      <c r="G49" s="307">
        <f>((GETPIVOTDATA("COSTO",$A$15,"sost","Federal","entidad","Ciudad de México","Año",2022)/GETPIVOTDATA("COSTO",$A$15,"sost","Federal","entidad","Ciudad de México","Año",2021))-1)*100</f>
        <v>15.603272999692287</v>
      </c>
      <c r="H49" s="322">
        <f>GETPIVOTDATA("COSTO",$A$15,"sost","Federal","entidad","Ciudad de México","Año",2022)-GETPIVOTDATA("COSTO",$A$15,"sost","Federal","entidad","Ciudad de México","Año",2021)</f>
        <v>2494.4245422097811</v>
      </c>
      <c r="I49" s="307">
        <f>((GETPIVOTDATA("COSTO",$A$15,"sost","Federal","entidad","Ciudad de México","Año",2022)/GETPIVOTDATA("COSTO",$A$15,"sost","Federal","entidad","Ciudad de México","Año",2018))-1)*100</f>
        <v>17.479743579536098</v>
      </c>
      <c r="J49" s="322">
        <f>GETPIVOTDATA("COSTO",$A$15,"sost","Federal","entidad","Ciudad de México","Año",2022)-GETPIVOTDATA("COSTO",$A$15,"sost","Federal","entidad","Ciudad de México","Año",2018)</f>
        <v>2749.7731142350513</v>
      </c>
      <c r="K49" s="2"/>
    </row>
    <row r="50" spans="1:11">
      <c r="A50" s="51" t="s">
        <v>28</v>
      </c>
      <c r="B50" s="50">
        <v>32412.903008994279</v>
      </c>
      <c r="C50" s="50">
        <v>31848.102698412698</v>
      </c>
      <c r="D50" s="50">
        <v>31384.723157107808</v>
      </c>
      <c r="E50" s="50">
        <v>37237.230428502917</v>
      </c>
      <c r="F50" s="50">
        <v>35810.329586421496</v>
      </c>
      <c r="G50" s="306">
        <f>((GETPIVOTDATA("COSTO",$A$15,"sost","Federal","entidad","Oaxaca","Año",2022)/GETPIVOTDATA("COSTO",$A$15,"sost","Federal","entidad","Oaxaca","Año",2021))-1)*100</f>
        <v>-3.831919897536773</v>
      </c>
      <c r="H50" s="321">
        <f>GETPIVOTDATA("COSTO",$A$15,"sost","Federal","entidad","Oaxaca","Año",2022)-GETPIVOTDATA("COSTO",$A$15,"sost","Federal","entidad","Oaxaca","Año",2021)</f>
        <v>-1426.9008420814207</v>
      </c>
      <c r="I50" s="306">
        <f>((GETPIVOTDATA("COSTO",$A$15,"sost","Federal","entidad","Oaxaca","Año",2022)/GETPIVOTDATA("COSTO",$A$15,"sost","Federal","entidad","Oaxaca","Año",2018))-1)*100</f>
        <v>10.481710251267717</v>
      </c>
      <c r="J50" s="321">
        <f>GETPIVOTDATA("COSTO",$A$15,"sost","Federal","entidad","Oaxaca","Año",2022)-GETPIVOTDATA("COSTO",$A$15,"sost","Federal","entidad","Oaxaca","Año",2018)</f>
        <v>3397.4265774272171</v>
      </c>
      <c r="K50" s="2"/>
    </row>
    <row r="51" spans="1:11" hidden="1">
      <c r="A51" s="51" t="s">
        <v>39</v>
      </c>
      <c r="B51" s="50">
        <v>0</v>
      </c>
      <c r="C51" s="50">
        <v>0</v>
      </c>
      <c r="D51" s="50">
        <v>0</v>
      </c>
      <c r="E51" s="50">
        <v>0</v>
      </c>
      <c r="F51" s="50">
        <v>0</v>
      </c>
      <c r="G51" s="48" t="e">
        <f>((GETPIVOTDATA("COSTO",$A$15,"sost","Federal","entidad","Oficinas Nacionales","Año",2022)/GETPIVOTDATA("COSTO",$A$15,"sost","Federal","entidad","Oficinas Nacionales","Año",2021))-1)*100</f>
        <v>#DIV/0!</v>
      </c>
      <c r="H51" s="48">
        <f>GETPIVOTDATA("COSTO",$A$15,"sost","Federal","entidad","Oficinas Nacionales","Año",2022)-GETPIVOTDATA("COSTO",$A$15,"sost","Federal","entidad","Oficinas Nacionales","Año",2021)</f>
        <v>0</v>
      </c>
      <c r="I51" s="48" t="e">
        <f>((GETPIVOTDATA("COSTO",$A$15,"sost","Federal","entidad","Oficinas Nacionales","Año",2022)/GETPIVOTDATA("COSTO",$A$15,"sost","Federal","entidad","Oficinas Nacionales","Año",2018))-1)*100</f>
        <v>#DIV/0!</v>
      </c>
      <c r="J51" s="48">
        <f>GETPIVOTDATA("COSTO",$A$15,"sost","Federal","entidad","Oficinas Nacionales","Año",2022)-GETPIVOTDATA("COSTO",$A$15,"sost","Federal","entidad","Oficinas Nacionales","Año",2018)</f>
        <v>0</v>
      </c>
    </row>
    <row r="52" spans="1:11" hidden="1">
      <c r="A52" s="49" t="s">
        <v>124</v>
      </c>
      <c r="B52" s="50">
        <v>0</v>
      </c>
      <c r="C52" s="50">
        <v>0</v>
      </c>
      <c r="D52" s="50">
        <v>0</v>
      </c>
      <c r="E52" s="50">
        <v>0</v>
      </c>
      <c r="F52" s="50">
        <v>0</v>
      </c>
      <c r="G52" s="48" t="e">
        <f>((GETPIVOTDATA("COSTO",$A$15,"sost","Otro","Año",2022)/GETPIVOTDATA("COSTO",$A$15,"sost","Otro","Año",2021))-1)*100</f>
        <v>#DIV/0!</v>
      </c>
      <c r="I52" s="48" t="e">
        <f>((GETPIVOTDATA("COSTO",$A$15,"sost","Otro","Año",2022)/GETPIVOTDATA("COSTO",$A$15,"sost","Otro","Año",2018))-1)*100</f>
        <v>#DIV/0!</v>
      </c>
    </row>
    <row r="53" spans="1:11" hidden="1">
      <c r="A53" s="51" t="s">
        <v>40</v>
      </c>
      <c r="B53" s="50">
        <v>0</v>
      </c>
      <c r="C53" s="50">
        <v>0</v>
      </c>
      <c r="D53" s="50">
        <v>0</v>
      </c>
      <c r="E53" s="50">
        <v>0</v>
      </c>
      <c r="F53" s="50">
        <v>0</v>
      </c>
      <c r="G53" s="48" t="e">
        <f>((GETPIVOTDATA("COSTO",$A$15,"sost","Otro","entidad","Otros","Año",2022)/GETPIVOTDATA("COSTO",$A$15,"sost","Otro","entidad","Otros","Año",2021))-1)*100</f>
        <v>#DIV/0!</v>
      </c>
      <c r="I53" s="48" t="e">
        <f>((GETPIVOTDATA("COSTO",$A$15,"sost","Otro","entidad","Otros","Año",2022)/GETPIVOTDATA("COSTO",$A$15,"sost","Otro","entidad","Otros","Año",2018))-1)*100</f>
        <v>#DIV/0!</v>
      </c>
    </row>
    <row r="54" spans="1:11" hidden="1">
      <c r="A54" s="49" t="s">
        <v>37</v>
      </c>
      <c r="B54" s="50">
        <v>17596.600771310892</v>
      </c>
      <c r="C54" s="50">
        <v>18155.932300017314</v>
      </c>
      <c r="D54" s="50">
        <v>18764.38587228108</v>
      </c>
      <c r="E54" s="50">
        <v>19454.776944934765</v>
      </c>
      <c r="F54" s="87">
        <v>19699.358796076998</v>
      </c>
      <c r="G54" s="308">
        <f>((GETPIVOTDATA("COSTO",$A$15,"Año",2022)/GETPIVOTDATA("COSTO",$A$15,"Año",2021))-1)*100</f>
        <v>1.2571814718539409</v>
      </c>
      <c r="H54" s="329">
        <f>GETPIVOTDATA("COSTO",$A$15,"Año",2022)-GETPIVOTDATA("COSTO",$A$15,"Año",2021)</f>
        <v>244.58185114223306</v>
      </c>
      <c r="I54" s="308">
        <f>((GETPIVOTDATA("COSTO",$A$15,"Año",2022)/GETPIVOTDATA("COSTO",$A$15,"Año",2018))-1)*100</f>
        <v>11.949796736847018</v>
      </c>
      <c r="J54" s="329">
        <f>GETPIVOTDATA("COSTO",$A$15,"Año",2022)-GETPIVOTDATA("COSTO",$A$15,"Año",2018)</f>
        <v>2102.7580247661062</v>
      </c>
    </row>
    <row r="56" spans="1:11">
      <c r="A56" s="275" t="s">
        <v>263</v>
      </c>
      <c r="B56" s="175"/>
      <c r="C56" s="85"/>
      <c r="D56" s="85"/>
      <c r="E56" s="85"/>
      <c r="F56" s="85"/>
    </row>
    <row r="57" spans="1:11">
      <c r="A57" s="272"/>
    </row>
  </sheetData>
  <mergeCells count="5">
    <mergeCell ref="B14:D14"/>
    <mergeCell ref="E14:F14"/>
    <mergeCell ref="A5:J5"/>
    <mergeCell ref="G14:H14"/>
    <mergeCell ref="I14:J14"/>
  </mergeCells>
  <printOptions horizontalCentered="1"/>
  <pageMargins left="0.70866141732283472" right="0.70866141732283472" top="0.74803149606299213" bottom="0.74803149606299213" header="0.31496062992125984" footer="0.31496062992125984"/>
  <pageSetup paperSize="9" scale="80" orientation="portrait" r:id="rId2"/>
  <drawing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6"/>
  <sheetViews>
    <sheetView showGridLines="0" view="pageBreakPreview" zoomScale="115" zoomScaleNormal="120" zoomScaleSheetLayoutView="115" workbookViewId="0">
      <selection activeCell="J13" sqref="J13"/>
    </sheetView>
  </sheetViews>
  <sheetFormatPr baseColWidth="10" defaultColWidth="11.42578125" defaultRowHeight="13.5"/>
  <cols>
    <col min="1" max="1" width="23.5703125" style="48" customWidth="1"/>
    <col min="2" max="8" width="9.5703125" style="48" customWidth="1"/>
    <col min="9" max="9" width="11.5703125" style="48" bestFit="1" customWidth="1"/>
    <col min="10" max="10" width="15.140625" style="48" bestFit="1"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H1" s="64" t="s">
        <v>48</v>
      </c>
    </row>
    <row r="2" spans="1:11" s="3" customFormat="1" ht="15" customHeight="1">
      <c r="B2" s="1"/>
      <c r="C2" s="1"/>
      <c r="D2" s="1"/>
      <c r="E2" s="1"/>
      <c r="H2" s="6" t="s">
        <v>42</v>
      </c>
    </row>
    <row r="3" spans="1:11" s="3" customFormat="1" ht="15" customHeight="1">
      <c r="B3" s="1"/>
      <c r="C3" s="1"/>
      <c r="D3" s="1"/>
      <c r="E3" s="1"/>
      <c r="F3" s="1"/>
    </row>
    <row r="4" spans="1:11" s="3" customFormat="1" ht="6.75" customHeight="1">
      <c r="B4" s="1"/>
      <c r="C4" s="1"/>
      <c r="D4" s="1"/>
      <c r="E4" s="1"/>
      <c r="F4" s="1"/>
    </row>
    <row r="5" spans="1:11" s="3" customFormat="1" ht="15" customHeight="1">
      <c r="A5" s="367" t="s">
        <v>193</v>
      </c>
      <c r="B5" s="367"/>
      <c r="C5" s="367"/>
      <c r="D5" s="367"/>
      <c r="E5" s="367"/>
      <c r="F5" s="367"/>
      <c r="G5" s="367"/>
      <c r="H5" s="367"/>
    </row>
    <row r="6" spans="1:11" s="3" customFormat="1" ht="8.1" customHeight="1">
      <c r="A6" s="5"/>
      <c r="B6" s="63"/>
      <c r="C6" s="65"/>
      <c r="D6" s="65"/>
      <c r="E6" s="66"/>
      <c r="F6" s="66"/>
    </row>
    <row r="7" spans="1:11" s="68" customFormat="1" ht="15" customHeight="1">
      <c r="A7" s="76" t="s">
        <v>45</v>
      </c>
      <c r="B7" s="76" t="s">
        <v>0</v>
      </c>
      <c r="C7" s="67"/>
      <c r="D7" s="67"/>
      <c r="E7" s="63"/>
      <c r="F7" s="63"/>
    </row>
    <row r="8" spans="1:11" s="68" customFormat="1" ht="15" customHeight="1">
      <c r="A8" s="77">
        <v>2018</v>
      </c>
      <c r="B8" s="108">
        <f>$B$54</f>
        <v>19.570211683936176</v>
      </c>
      <c r="C8" s="69"/>
      <c r="D8" s="67"/>
      <c r="E8" s="63"/>
      <c r="F8" s="63"/>
    </row>
    <row r="9" spans="1:11" s="68" customFormat="1" ht="15" customHeight="1">
      <c r="A9" s="77">
        <v>2019</v>
      </c>
      <c r="B9" s="108">
        <f>$C$54</f>
        <v>19.695579435042792</v>
      </c>
      <c r="C9" s="67"/>
      <c r="D9" s="67"/>
      <c r="E9" s="63"/>
      <c r="F9" s="63"/>
    </row>
    <row r="10" spans="1:11" s="68" customFormat="1" ht="15" customHeight="1">
      <c r="A10" s="77">
        <v>2020</v>
      </c>
      <c r="B10" s="108">
        <f>$D$54</f>
        <v>19.987696113534277</v>
      </c>
      <c r="C10" s="67"/>
      <c r="D10" s="67"/>
      <c r="E10" s="63"/>
      <c r="F10" s="63"/>
    </row>
    <row r="11" spans="1:11" s="68" customFormat="1" ht="15" customHeight="1">
      <c r="A11" s="77">
        <v>2021</v>
      </c>
      <c r="B11" s="108">
        <f>$E$54</f>
        <v>20.419106012658229</v>
      </c>
      <c r="C11" s="67"/>
      <c r="D11" s="67"/>
      <c r="E11" s="63"/>
      <c r="F11" s="63"/>
    </row>
    <row r="12" spans="1:11" s="68" customFormat="1" ht="15" customHeight="1">
      <c r="A12" s="77">
        <v>2022</v>
      </c>
      <c r="B12" s="108">
        <f>$F$54</f>
        <v>21.226644628099173</v>
      </c>
      <c r="C12" s="67"/>
      <c r="D12" s="67"/>
      <c r="E12" s="63"/>
      <c r="F12" s="63"/>
    </row>
    <row r="13" spans="1:11" s="68" customFormat="1" ht="15" customHeight="1">
      <c r="A13" s="79" t="s">
        <v>314</v>
      </c>
      <c r="B13" s="108">
        <f>B12-B11</f>
        <v>0.80753861544094363</v>
      </c>
      <c r="C13" s="67"/>
      <c r="D13" s="67"/>
      <c r="E13" s="63"/>
      <c r="F13" s="63"/>
    </row>
    <row r="14" spans="1:11" s="3" customFormat="1" ht="11.25" customHeight="1">
      <c r="A14" s="71"/>
      <c r="B14" s="365"/>
      <c r="C14" s="365"/>
      <c r="D14" s="365"/>
      <c r="E14" s="366"/>
      <c r="F14" s="366"/>
    </row>
    <row r="15" spans="1:11" hidden="1">
      <c r="A15" s="83" t="s">
        <v>178</v>
      </c>
      <c r="B15" s="47" t="s">
        <v>45</v>
      </c>
      <c r="G15" s="311"/>
      <c r="H15" s="311"/>
      <c r="I15" s="2"/>
      <c r="J15" s="2"/>
      <c r="K15" s="2"/>
    </row>
    <row r="16" spans="1:11" ht="27">
      <c r="A16" s="47" t="s">
        <v>156</v>
      </c>
      <c r="B16" s="48">
        <v>2018</v>
      </c>
      <c r="C16" s="48">
        <v>2019</v>
      </c>
      <c r="D16" s="48">
        <v>2020</v>
      </c>
      <c r="E16" s="48">
        <v>2021</v>
      </c>
      <c r="F16" s="48">
        <v>2022</v>
      </c>
      <c r="G16" s="313" t="s">
        <v>331</v>
      </c>
      <c r="H16" s="313" t="s">
        <v>332</v>
      </c>
      <c r="I16" s="2"/>
      <c r="J16" s="2"/>
      <c r="K16" s="2"/>
    </row>
    <row r="17" spans="1:11">
      <c r="A17" s="49" t="s">
        <v>49</v>
      </c>
      <c r="B17" s="75">
        <v>19.576151390788873</v>
      </c>
      <c r="C17" s="75">
        <v>19.69198799353498</v>
      </c>
      <c r="D17" s="75">
        <v>19.978078759884131</v>
      </c>
      <c r="E17" s="75">
        <v>20.578989446754079</v>
      </c>
      <c r="F17" s="75">
        <v>21.545331096732966</v>
      </c>
      <c r="G17" s="324">
        <f>GETPIVOTDATA("ADOC",$A$15,"sost","Estatal","Año",2022)-GETPIVOTDATA("ADOC",$A$15,"sost","Estatal","Año",2021)</f>
        <v>0.96634164997888661</v>
      </c>
      <c r="H17" s="324">
        <f>GETPIVOTDATA("ADOC",$A$15,"sost","Estatal","Año",2022)-GETPIVOTDATA("ADOC",$A$15,"sost","Estatal","Año",2018)</f>
        <v>1.969179705944093</v>
      </c>
      <c r="I17" s="2"/>
      <c r="J17" s="2"/>
      <c r="K17" s="2"/>
    </row>
    <row r="18" spans="1:11">
      <c r="A18" s="51" t="s">
        <v>1</v>
      </c>
      <c r="B18" s="75">
        <v>16.75357142857143</v>
      </c>
      <c r="C18" s="75">
        <v>15.95774647887324</v>
      </c>
      <c r="D18" s="75">
        <v>16.416666666666668</v>
      </c>
      <c r="E18" s="75">
        <v>15.577205882352942</v>
      </c>
      <c r="F18" s="75">
        <v>16.544776119402986</v>
      </c>
      <c r="G18" s="327">
        <f>GETPIVOTDATA("ADOC",$A$15,"sost","Estatal","entidad","Aguascalientes","Año",2022)-GETPIVOTDATA("ADOC",$A$15,"sost","Estatal","entidad","Aguascalientes","Año",2021)</f>
        <v>0.96757023705004386</v>
      </c>
      <c r="H18" s="327">
        <f>GETPIVOTDATA("ADOC",$A$15,"sost","Estatal","entidad","Aguascalientes","Año",2022)-GETPIVOTDATA("ADOC",$A$15,"sost","Estatal","entidad","Aguascalientes","Año",2018)</f>
        <v>-0.20879530916844402</v>
      </c>
      <c r="I18" s="2"/>
      <c r="J18" s="2"/>
      <c r="K18" s="2"/>
    </row>
    <row r="19" spans="1:11">
      <c r="A19" s="51" t="s">
        <v>3</v>
      </c>
      <c r="B19" s="75">
        <v>21.102244389027433</v>
      </c>
      <c r="C19" s="75">
        <v>21.979899497487438</v>
      </c>
      <c r="D19" s="75">
        <v>22.04859335038363</v>
      </c>
      <c r="E19" s="75">
        <v>23.0234375</v>
      </c>
      <c r="F19" s="75">
        <v>23.12280701754386</v>
      </c>
      <c r="G19" s="326">
        <f>GETPIVOTDATA("ADOC",$A$15,"sost","Estatal","entidad","Baja California","Año",2022)-GETPIVOTDATA("ADOC",$A$15,"sost","Estatal","entidad","Baja California","Año",2021)</f>
        <v>9.9369517543859587E-2</v>
      </c>
      <c r="H19" s="326">
        <f>GETPIVOTDATA("ADOC",$A$15,"sost","Estatal","entidad","Baja California","Año",2022)-GETPIVOTDATA("ADOC",$A$15,"sost","Estatal","entidad","Baja California","Año",2018)</f>
        <v>2.0205626285164264</v>
      </c>
      <c r="I19" s="2"/>
      <c r="J19" s="2"/>
      <c r="K19" s="2"/>
    </row>
    <row r="20" spans="1:11">
      <c r="A20" s="51" t="s">
        <v>4</v>
      </c>
      <c r="B20" s="75">
        <v>19.732558139534884</v>
      </c>
      <c r="C20" s="75">
        <v>17.678160919540229</v>
      </c>
      <c r="D20" s="75">
        <v>18.580246913580247</v>
      </c>
      <c r="E20" s="75">
        <v>19.137499999999999</v>
      </c>
      <c r="F20" s="75">
        <v>21.766233766233768</v>
      </c>
      <c r="G20" s="327">
        <f>GETPIVOTDATA("ADOC",$A$15,"sost","Estatal","entidad","Baja California Sur","Año",2022)-GETPIVOTDATA("ADOC",$A$15,"sost","Estatal","entidad","Baja California Sur","Año",2021)</f>
        <v>2.6287337662337684</v>
      </c>
      <c r="H20" s="327">
        <f>GETPIVOTDATA("ADOC",$A$15,"sost","Estatal","entidad","Baja California Sur","Año",2022)-GETPIVOTDATA("ADOC",$A$15,"sost","Estatal","entidad","Baja California Sur","Año",2018)</f>
        <v>2.0336756266988836</v>
      </c>
      <c r="I20" s="2"/>
      <c r="J20" s="2"/>
      <c r="K20" s="2"/>
    </row>
    <row r="21" spans="1:11">
      <c r="A21" s="51" t="s">
        <v>5</v>
      </c>
      <c r="B21" s="75">
        <v>18.407766990291261</v>
      </c>
      <c r="C21" s="75">
        <v>16.836206896551722</v>
      </c>
      <c r="D21" s="75">
        <v>16.601694915254239</v>
      </c>
      <c r="E21" s="75">
        <v>16.008264462809919</v>
      </c>
      <c r="F21" s="75">
        <v>17.907563025210084</v>
      </c>
      <c r="G21" s="326">
        <f>GETPIVOTDATA("ADOC",$A$15,"sost","Estatal","entidad","Campeche","Año",2022)-GETPIVOTDATA("ADOC",$A$15,"sost","Estatal","entidad","Campeche","Año",2021)</f>
        <v>1.8992985624001655</v>
      </c>
      <c r="H21" s="326">
        <f>GETPIVOTDATA("ADOC",$A$15,"sost","Estatal","entidad","Campeche","Año",2022)-GETPIVOTDATA("ADOC",$A$15,"sost","Estatal","entidad","Campeche","Año",2018)</f>
        <v>-0.5002039650811767</v>
      </c>
      <c r="I21" s="2"/>
      <c r="J21" s="2"/>
      <c r="K21" s="2"/>
    </row>
    <row r="22" spans="1:11">
      <c r="A22" s="51" t="s">
        <v>6</v>
      </c>
      <c r="B22" s="75">
        <v>17.356435643564357</v>
      </c>
      <c r="C22" s="75">
        <v>15.844497607655502</v>
      </c>
      <c r="D22" s="75">
        <v>17.24514563106796</v>
      </c>
      <c r="E22" s="75">
        <v>19.765116279069769</v>
      </c>
      <c r="F22" s="75">
        <v>20.264637002341921</v>
      </c>
      <c r="G22" s="327">
        <f>GETPIVOTDATA("ADOC",$A$15,"sost","Estatal","entidad","Chiapas","Año",2022)-GETPIVOTDATA("ADOC",$A$15,"sost","Estatal","entidad","Chiapas","Año",2021)</f>
        <v>0.49952072327215191</v>
      </c>
      <c r="H22" s="327">
        <f>GETPIVOTDATA("ADOC",$A$15,"sost","Estatal","entidad","Chiapas","Año",2022)-GETPIVOTDATA("ADOC",$A$15,"sost","Estatal","entidad","Chiapas","Año",2018)</f>
        <v>2.9082013587775641</v>
      </c>
      <c r="I22" s="2"/>
      <c r="J22" s="2"/>
      <c r="K22" s="2"/>
    </row>
    <row r="23" spans="1:11">
      <c r="A23" s="51" t="s">
        <v>7</v>
      </c>
      <c r="B23" s="75">
        <v>14.806563039723661</v>
      </c>
      <c r="C23" s="75">
        <v>15.855098389982111</v>
      </c>
      <c r="D23" s="75">
        <v>15.270796460176991</v>
      </c>
      <c r="E23" s="75">
        <v>14.832740213523131</v>
      </c>
      <c r="F23" s="75">
        <v>16.9375</v>
      </c>
      <c r="G23" s="326">
        <f>GETPIVOTDATA("ADOC",$A$15,"sost","Estatal","entidad","Chihuahua","Año",2022)-GETPIVOTDATA("ADOC",$A$15,"sost","Estatal","entidad","Chihuahua","Año",2021)</f>
        <v>2.104759786476869</v>
      </c>
      <c r="H23" s="326">
        <f>GETPIVOTDATA("ADOC",$A$15,"sost","Estatal","entidad","Chihuahua","Año",2022)-GETPIVOTDATA("ADOC",$A$15,"sost","Estatal","entidad","Chihuahua","Año",2018)</f>
        <v>2.1309369602763386</v>
      </c>
      <c r="I23" s="2"/>
      <c r="J23" s="2"/>
      <c r="K23" s="2"/>
    </row>
    <row r="24" spans="1:11">
      <c r="A24" s="51" t="s">
        <v>31</v>
      </c>
      <c r="B24" s="75">
        <v>24.816229116945106</v>
      </c>
      <c r="C24" s="75">
        <v>24.419203747072601</v>
      </c>
      <c r="D24" s="75">
        <v>25.101694915254239</v>
      </c>
      <c r="E24" s="75">
        <v>23.93144208037825</v>
      </c>
      <c r="F24" s="75">
        <v>24.171837708830548</v>
      </c>
      <c r="G24" s="327">
        <f>GETPIVOTDATA("ADOC",$A$15,"sost","Estatal","entidad","Coahuila de Zaragoza","Año",2022)-GETPIVOTDATA("ADOC",$A$15,"sost","Estatal","entidad","Coahuila de Zaragoza","Año",2021)</f>
        <v>0.24039562845229767</v>
      </c>
      <c r="H24" s="327">
        <f>GETPIVOTDATA("ADOC",$A$15,"sost","Estatal","entidad","Coahuila de Zaragoza","Año",2022)-GETPIVOTDATA("ADOC",$A$15,"sost","Estatal","entidad","Coahuila de Zaragoza","Año",2018)</f>
        <v>-0.64439140811455786</v>
      </c>
      <c r="I24" s="2"/>
      <c r="J24" s="2"/>
      <c r="K24" s="2"/>
    </row>
    <row r="25" spans="1:11">
      <c r="A25" s="51" t="s">
        <v>8</v>
      </c>
      <c r="B25" s="75">
        <v>15.25</v>
      </c>
      <c r="C25" s="75">
        <v>17.423423423423422</v>
      </c>
      <c r="D25" s="75">
        <v>16.508928571428573</v>
      </c>
      <c r="E25" s="75">
        <v>16</v>
      </c>
      <c r="F25" s="75">
        <v>16.363636363636363</v>
      </c>
      <c r="G25" s="326">
        <f>GETPIVOTDATA("ADOC",$A$15,"sost","Estatal","entidad","Colima","Año",2022)-GETPIVOTDATA("ADOC",$A$15,"sost","Estatal","entidad","Colima","Año",2021)</f>
        <v>0.36363636363636331</v>
      </c>
      <c r="H25" s="326">
        <f>GETPIVOTDATA("ADOC",$A$15,"sost","Estatal","entidad","Colima","Año",2022)-GETPIVOTDATA("ADOC",$A$15,"sost","Estatal","entidad","Colima","Año",2018)</f>
        <v>1.1136363636363633</v>
      </c>
      <c r="I25" s="2"/>
      <c r="J25" s="2"/>
      <c r="K25" s="2"/>
    </row>
    <row r="26" spans="1:11">
      <c r="A26" s="51" t="s">
        <v>9</v>
      </c>
      <c r="B26" s="75">
        <v>12.371794871794872</v>
      </c>
      <c r="C26" s="75">
        <v>12.180645161290322</v>
      </c>
      <c r="D26" s="75">
        <v>10.262820512820513</v>
      </c>
      <c r="E26" s="75">
        <v>10.858108108108109</v>
      </c>
      <c r="F26" s="75">
        <v>12.820143884892087</v>
      </c>
      <c r="G26" s="327">
        <f>GETPIVOTDATA("ADOC",$A$15,"sost","Estatal","entidad","Durango","Año",2022)-GETPIVOTDATA("ADOC",$A$15,"sost","Estatal","entidad","Durango","Año",2021)</f>
        <v>1.9620357767839778</v>
      </c>
      <c r="H26" s="327">
        <f>GETPIVOTDATA("ADOC",$A$15,"sost","Estatal","entidad","Durango","Año",2022)-GETPIVOTDATA("ADOC",$A$15,"sost","Estatal","entidad","Durango","Año",2018)</f>
        <v>0.44834901309721431</v>
      </c>
      <c r="I26" s="2"/>
      <c r="J26" s="2"/>
      <c r="K26" s="2"/>
    </row>
    <row r="27" spans="1:11">
      <c r="A27" s="51" t="s">
        <v>10</v>
      </c>
      <c r="B27" s="75">
        <v>21.01042873696408</v>
      </c>
      <c r="C27" s="75">
        <v>21.213785046728972</v>
      </c>
      <c r="D27" s="75">
        <v>20.74228028503563</v>
      </c>
      <c r="E27" s="75">
        <v>20.475124378109452</v>
      </c>
      <c r="F27" s="75">
        <v>22.654450261780106</v>
      </c>
      <c r="G27" s="326">
        <f>GETPIVOTDATA("ADOC",$A$15,"sost","Estatal","entidad","Guanajuato","Año",2022)-GETPIVOTDATA("ADOC",$A$15,"sost","Estatal","entidad","Guanajuato","Año",2021)</f>
        <v>2.1793258836706535</v>
      </c>
      <c r="H27" s="326">
        <f>GETPIVOTDATA("ADOC",$A$15,"sost","Estatal","entidad","Guanajuato","Año",2022)-GETPIVOTDATA("ADOC",$A$15,"sost","Estatal","entidad","Guanajuato","Año",2018)</f>
        <v>1.6440215248160257</v>
      </c>
      <c r="I27" s="2"/>
      <c r="J27" s="2"/>
      <c r="K27" s="2"/>
    </row>
    <row r="28" spans="1:11">
      <c r="A28" s="51" t="s">
        <v>11</v>
      </c>
      <c r="B28" s="75">
        <v>20.653198653198654</v>
      </c>
      <c r="C28" s="75">
        <v>20.09271523178808</v>
      </c>
      <c r="D28" s="75">
        <v>20.35034013605442</v>
      </c>
      <c r="E28" s="75">
        <v>20.062068965517241</v>
      </c>
      <c r="F28" s="75">
        <v>20.523972602739725</v>
      </c>
      <c r="G28" s="327">
        <f>GETPIVOTDATA("ADOC",$A$15,"sost","Estatal","entidad","Guerrero","Año",2022)-GETPIVOTDATA("ADOC",$A$15,"sost","Estatal","entidad","Guerrero","Año",2021)</f>
        <v>0.46190363722248406</v>
      </c>
      <c r="H28" s="327">
        <f>GETPIVOTDATA("ADOC",$A$15,"sost","Estatal","entidad","Guerrero","Año",2022)-GETPIVOTDATA("ADOC",$A$15,"sost","Estatal","entidad","Guerrero","Año",2018)</f>
        <v>-0.12922605045892865</v>
      </c>
      <c r="I28" s="2"/>
      <c r="J28" s="2"/>
      <c r="K28" s="2"/>
    </row>
    <row r="29" spans="1:11">
      <c r="A29" s="51" t="s">
        <v>12</v>
      </c>
      <c r="B29" s="75">
        <v>17.165853658536584</v>
      </c>
      <c r="C29" s="75">
        <v>18.425000000000001</v>
      </c>
      <c r="D29" s="75">
        <v>18.72</v>
      </c>
      <c r="E29" s="75">
        <v>18.989690721649485</v>
      </c>
      <c r="F29" s="75">
        <v>20.234375</v>
      </c>
      <c r="G29" s="326">
        <f>GETPIVOTDATA("ADOC",$A$15,"sost","Estatal","entidad","Hidalgo","Año",2022)-GETPIVOTDATA("ADOC",$A$15,"sost","Estatal","entidad","Hidalgo","Año",2021)</f>
        <v>1.2446842783505154</v>
      </c>
      <c r="H29" s="326">
        <f>GETPIVOTDATA("ADOC",$A$15,"sost","Estatal","entidad","Hidalgo","Año",2022)-GETPIVOTDATA("ADOC",$A$15,"sost","Estatal","entidad","Hidalgo","Año",2018)</f>
        <v>3.0685213414634163</v>
      </c>
      <c r="I29" s="2"/>
      <c r="J29" s="2"/>
      <c r="K29" s="2"/>
    </row>
    <row r="30" spans="1:11">
      <c r="A30" s="51" t="s">
        <v>13</v>
      </c>
      <c r="B30" s="75">
        <v>17.531784841075794</v>
      </c>
      <c r="C30" s="75">
        <v>17.220973782771537</v>
      </c>
      <c r="D30" s="75">
        <v>17.358418367346939</v>
      </c>
      <c r="E30" s="75">
        <v>17.784260515603798</v>
      </c>
      <c r="F30" s="75">
        <v>17.67837837837838</v>
      </c>
      <c r="G30" s="327">
        <f>GETPIVOTDATA("ADOC",$A$15,"sost","Estatal","entidad","Jalisco","Año",2022)-GETPIVOTDATA("ADOC",$A$15,"sost","Estatal","entidad","Jalisco","Año",2021)</f>
        <v>-0.10588213722541795</v>
      </c>
      <c r="H30" s="327">
        <f>GETPIVOTDATA("ADOC",$A$15,"sost","Estatal","entidad","Jalisco","Año",2022)-GETPIVOTDATA("ADOC",$A$15,"sost","Estatal","entidad","Jalisco","Año",2018)</f>
        <v>0.14659353730258573</v>
      </c>
      <c r="I30" s="2"/>
      <c r="J30" s="2"/>
      <c r="K30" s="2"/>
    </row>
    <row r="31" spans="1:11">
      <c r="A31" s="51" t="s">
        <v>14</v>
      </c>
      <c r="B31" s="75">
        <v>21.020175438596493</v>
      </c>
      <c r="C31" s="75">
        <v>21.318552036199094</v>
      </c>
      <c r="D31" s="75">
        <v>21.844795539033456</v>
      </c>
      <c r="E31" s="75">
        <v>22.958413001912046</v>
      </c>
      <c r="F31" s="75">
        <v>24.194830062230732</v>
      </c>
      <c r="G31" s="326">
        <f>GETPIVOTDATA("ADOC",$A$15,"sost","Estatal","entidad","México","Año",2022)-GETPIVOTDATA("ADOC",$A$15,"sost","Estatal","entidad","México","Año",2021)</f>
        <v>1.2364170603186864</v>
      </c>
      <c r="H31" s="326">
        <f>GETPIVOTDATA("ADOC",$A$15,"sost","Estatal","entidad","México","Año",2022)-GETPIVOTDATA("ADOC",$A$15,"sost","Estatal","entidad","México","Año",2018)</f>
        <v>3.1746546236342397</v>
      </c>
      <c r="I31" s="2"/>
      <c r="J31" s="2"/>
      <c r="K31" s="2"/>
    </row>
    <row r="32" spans="1:11">
      <c r="A32" s="51" t="s">
        <v>30</v>
      </c>
      <c r="B32" s="75">
        <v>25.197727272727274</v>
      </c>
      <c r="C32" s="75">
        <v>24.756696428571427</v>
      </c>
      <c r="D32" s="75">
        <v>24.582222222222221</v>
      </c>
      <c r="E32" s="75">
        <v>24.020501138952163</v>
      </c>
      <c r="F32" s="75">
        <v>25.808558558558559</v>
      </c>
      <c r="G32" s="327">
        <f>GETPIVOTDATA("ADOC",$A$15,"sost","Estatal","entidad","Michoacán de Ocampo","Año",2022)-GETPIVOTDATA("ADOC",$A$15,"sost","Estatal","entidad","Michoacán de Ocampo","Año",2021)</f>
        <v>1.7880574196063961</v>
      </c>
      <c r="H32" s="327">
        <f>GETPIVOTDATA("ADOC",$A$15,"sost","Estatal","entidad","Michoacán de Ocampo","Año",2022)-GETPIVOTDATA("ADOC",$A$15,"sost","Estatal","entidad","Michoacán de Ocampo","Año",2018)</f>
        <v>0.61083128583128499</v>
      </c>
      <c r="I32" s="2"/>
      <c r="J32" s="2"/>
      <c r="K32" s="2"/>
    </row>
    <row r="33" spans="1:11">
      <c r="A33" s="51" t="s">
        <v>15</v>
      </c>
      <c r="B33" s="75">
        <v>19.495798319327729</v>
      </c>
      <c r="C33" s="75">
        <v>19.080168776371309</v>
      </c>
      <c r="D33" s="75">
        <v>18.083333333333332</v>
      </c>
      <c r="E33" s="75">
        <v>18.2</v>
      </c>
      <c r="F33" s="75">
        <v>20.126050420168067</v>
      </c>
      <c r="G33" s="326">
        <f>GETPIVOTDATA("ADOC",$A$15,"sost","Estatal","entidad","Morelos","Año",2022)-GETPIVOTDATA("ADOC",$A$15,"sost","Estatal","entidad","Morelos","Año",2021)</f>
        <v>1.9260504201680675</v>
      </c>
      <c r="H33" s="326">
        <f>GETPIVOTDATA("ADOC",$A$15,"sost","Estatal","entidad","Morelos","Año",2022)-GETPIVOTDATA("ADOC",$A$15,"sost","Estatal","entidad","Morelos","Año",2018)</f>
        <v>0.63025210084033745</v>
      </c>
      <c r="I33" s="2"/>
      <c r="J33" s="2"/>
      <c r="K33" s="2"/>
    </row>
    <row r="34" spans="1:11">
      <c r="A34" s="51" t="s">
        <v>16</v>
      </c>
      <c r="B34" s="75">
        <v>22.532258064516128</v>
      </c>
      <c r="C34" s="75">
        <v>20.23448275862069</v>
      </c>
      <c r="D34" s="75">
        <v>19.958620689655174</v>
      </c>
      <c r="E34" s="75">
        <v>22.34090909090909</v>
      </c>
      <c r="F34" s="75">
        <v>30.321739130434782</v>
      </c>
      <c r="G34" s="327">
        <f>GETPIVOTDATA("ADOC",$A$15,"sost","Estatal","entidad","Nayarit","Año",2022)-GETPIVOTDATA("ADOC",$A$15,"sost","Estatal","entidad","Nayarit","Año",2021)</f>
        <v>7.9808300395256921</v>
      </c>
      <c r="H34" s="327">
        <f>GETPIVOTDATA("ADOC",$A$15,"sost","Estatal","entidad","Nayarit","Año",2022)-GETPIVOTDATA("ADOC",$A$15,"sost","Estatal","entidad","Nayarit","Año",2018)</f>
        <v>7.789481065918654</v>
      </c>
      <c r="I34" s="2"/>
      <c r="J34" s="2"/>
      <c r="K34" s="2"/>
    </row>
    <row r="35" spans="1:11">
      <c r="A35" s="51" t="s">
        <v>17</v>
      </c>
      <c r="B35" s="75">
        <v>19.673431734317344</v>
      </c>
      <c r="C35" s="75">
        <v>21.357622243528283</v>
      </c>
      <c r="D35" s="75">
        <v>21.1385948026949</v>
      </c>
      <c r="E35" s="75">
        <v>23.149801587301589</v>
      </c>
      <c r="F35" s="75">
        <v>22.63531870428422</v>
      </c>
      <c r="G35" s="326">
        <f>GETPIVOTDATA("ADOC",$A$15,"sost","Estatal","entidad","Nuevo León","Año",2022)-GETPIVOTDATA("ADOC",$A$15,"sost","Estatal","entidad","Nuevo León","Año",2021)</f>
        <v>-0.51448288301736866</v>
      </c>
      <c r="H35" s="326">
        <f>GETPIVOTDATA("ADOC",$A$15,"sost","Estatal","entidad","Nuevo León","Año",2022)-GETPIVOTDATA("ADOC",$A$15,"sost","Estatal","entidad","Nuevo León","Año",2018)</f>
        <v>2.9618869699668764</v>
      </c>
      <c r="I35" s="2"/>
      <c r="J35" s="2"/>
      <c r="K35" s="2"/>
    </row>
    <row r="36" spans="1:11">
      <c r="A36" s="51" t="s">
        <v>18</v>
      </c>
      <c r="B36" s="75">
        <v>18.41309823677582</v>
      </c>
      <c r="C36" s="75">
        <v>18.328244274809162</v>
      </c>
      <c r="D36" s="75">
        <v>18.41457286432161</v>
      </c>
      <c r="E36" s="75">
        <v>19.52820512820513</v>
      </c>
      <c r="F36" s="75">
        <v>19.354430379746834</v>
      </c>
      <c r="G36" s="327">
        <f>GETPIVOTDATA("ADOC",$A$15,"sost","Estatal","entidad","Puebla","Año",2022)-GETPIVOTDATA("ADOC",$A$15,"sost","Estatal","entidad","Puebla","Año",2021)</f>
        <v>-0.1737747484582961</v>
      </c>
      <c r="H36" s="327">
        <f>GETPIVOTDATA("ADOC",$A$15,"sost","Estatal","entidad","Puebla","Año",2022)-GETPIVOTDATA("ADOC",$A$15,"sost","Estatal","entidad","Puebla","Año",2018)</f>
        <v>0.94133214297101375</v>
      </c>
      <c r="I36" s="2"/>
      <c r="J36" s="2"/>
      <c r="K36" s="2"/>
    </row>
    <row r="37" spans="1:11">
      <c r="A37" s="51" t="s">
        <v>29</v>
      </c>
      <c r="B37" s="75">
        <v>14.410788381742739</v>
      </c>
      <c r="C37" s="75">
        <v>14.29535864978903</v>
      </c>
      <c r="D37" s="75">
        <v>14.120967741935484</v>
      </c>
      <c r="E37" s="75">
        <v>15.293103448275861</v>
      </c>
      <c r="F37" s="75">
        <v>16.045833333333334</v>
      </c>
      <c r="G37" s="326">
        <f>GETPIVOTDATA("ADOC",$A$15,"sost","Estatal","entidad","Querétaro de Arteaga","Año",2022)-GETPIVOTDATA("ADOC",$A$15,"sost","Estatal","entidad","Querétaro de Arteaga","Año",2021)</f>
        <v>0.75272988505747307</v>
      </c>
      <c r="H37" s="326">
        <f>GETPIVOTDATA("ADOC",$A$15,"sost","Estatal","entidad","Querétaro de Arteaga","Año",2022)-GETPIVOTDATA("ADOC",$A$15,"sost","Estatal","entidad","Querétaro de Arteaga","Año",2018)</f>
        <v>1.6350449515905954</v>
      </c>
      <c r="I37" s="2"/>
      <c r="J37" s="2"/>
      <c r="K37" s="2"/>
    </row>
    <row r="38" spans="1:11">
      <c r="A38" s="51" t="s">
        <v>19</v>
      </c>
      <c r="B38" s="75">
        <v>20.211764705882352</v>
      </c>
      <c r="C38" s="75">
        <v>20.754475703324808</v>
      </c>
      <c r="D38" s="75">
        <v>22.053708439897697</v>
      </c>
      <c r="E38" s="75">
        <v>23.113300492610836</v>
      </c>
      <c r="F38" s="75">
        <v>23.255269320843091</v>
      </c>
      <c r="G38" s="327">
        <f>GETPIVOTDATA("ADOC",$A$15,"sost","Estatal","entidad","Quintana Roo","Año",2022)-GETPIVOTDATA("ADOC",$A$15,"sost","Estatal","entidad","Quintana Roo","Año",2021)</f>
        <v>0.14196882823225465</v>
      </c>
      <c r="H38" s="327">
        <f>GETPIVOTDATA("ADOC",$A$15,"sost","Estatal","entidad","Quintana Roo","Año",2022)-GETPIVOTDATA("ADOC",$A$15,"sost","Estatal","entidad","Quintana Roo","Año",2018)</f>
        <v>3.0435046149607388</v>
      </c>
      <c r="I38" s="2"/>
      <c r="J38" s="2"/>
      <c r="K38" s="2"/>
    </row>
    <row r="39" spans="1:11">
      <c r="A39" s="51" t="s">
        <v>20</v>
      </c>
      <c r="B39" s="75">
        <v>21.378048780487806</v>
      </c>
      <c r="C39" s="75">
        <v>21.329166666666666</v>
      </c>
      <c r="D39" s="75">
        <v>19.809128630705395</v>
      </c>
      <c r="E39" s="75">
        <v>20.452991452991451</v>
      </c>
      <c r="F39" s="75">
        <v>21.02016129032258</v>
      </c>
      <c r="G39" s="326">
        <f>GETPIVOTDATA("ADOC",$A$15,"sost","Estatal","entidad","San Luis Potosí","Año",2022)-GETPIVOTDATA("ADOC",$A$15,"sost","Estatal","entidad","San Luis Potosí","Año",2021)</f>
        <v>0.56716983733112869</v>
      </c>
      <c r="H39" s="326">
        <f>GETPIVOTDATA("ADOC",$A$15,"sost","Estatal","entidad","San Luis Potosí","Año",2022)-GETPIVOTDATA("ADOC",$A$15,"sost","Estatal","entidad","San Luis Potosí","Año",2018)</f>
        <v>-0.35788749016522559</v>
      </c>
      <c r="I39" s="2"/>
      <c r="J39" s="2"/>
      <c r="K39" s="2"/>
    </row>
    <row r="40" spans="1:11">
      <c r="A40" s="51" t="s">
        <v>21</v>
      </c>
      <c r="B40" s="75">
        <v>16.264650283553877</v>
      </c>
      <c r="C40" s="75">
        <v>16.437262357414447</v>
      </c>
      <c r="D40" s="75">
        <v>16.238095238095237</v>
      </c>
      <c r="E40" s="75">
        <v>16.435684647302903</v>
      </c>
      <c r="F40" s="75">
        <v>17.566735112936346</v>
      </c>
      <c r="G40" s="327">
        <f>GETPIVOTDATA("ADOC",$A$15,"sost","Estatal","entidad","Sinaloa","Año",2022)-GETPIVOTDATA("ADOC",$A$15,"sost","Estatal","entidad","Sinaloa","Año",2021)</f>
        <v>1.131050465633443</v>
      </c>
      <c r="H40" s="327">
        <f>GETPIVOTDATA("ADOC",$A$15,"sost","Estatal","entidad","Sinaloa","Año",2022)-GETPIVOTDATA("ADOC",$A$15,"sost","Estatal","entidad","Sinaloa","Año",2018)</f>
        <v>1.3020848293824692</v>
      </c>
      <c r="I40" s="2"/>
      <c r="J40" s="2"/>
      <c r="K40" s="2"/>
    </row>
    <row r="41" spans="1:11">
      <c r="A41" s="51" t="s">
        <v>22</v>
      </c>
      <c r="B41" s="75">
        <v>22.395770392749245</v>
      </c>
      <c r="C41" s="75">
        <v>22.703363914373089</v>
      </c>
      <c r="D41" s="75">
        <v>28.049001814882033</v>
      </c>
      <c r="E41" s="75">
        <v>27.911231884057973</v>
      </c>
      <c r="F41" s="75">
        <v>27.42419080068143</v>
      </c>
      <c r="G41" s="326">
        <f>GETPIVOTDATA("ADOC",$A$15,"sost","Estatal","entidad","Sonora","Año",2022)-GETPIVOTDATA("ADOC",$A$15,"sost","Estatal","entidad","Sonora","Año",2021)</f>
        <v>-0.48704108337654262</v>
      </c>
      <c r="H41" s="326">
        <f>GETPIVOTDATA("ADOC",$A$15,"sost","Estatal","entidad","Sonora","Año",2022)-GETPIVOTDATA("ADOC",$A$15,"sost","Estatal","entidad","Sonora","Año",2018)</f>
        <v>5.0284204079321846</v>
      </c>
      <c r="I41" s="2"/>
      <c r="J41" s="2"/>
      <c r="K41" s="2"/>
    </row>
    <row r="42" spans="1:11">
      <c r="A42" s="51" t="s">
        <v>23</v>
      </c>
      <c r="B42" s="75">
        <v>19.07482993197279</v>
      </c>
      <c r="C42" s="75">
        <v>18.828178694158076</v>
      </c>
      <c r="D42" s="75">
        <v>17.565217391304348</v>
      </c>
      <c r="E42" s="75">
        <v>18.410169491525423</v>
      </c>
      <c r="F42" s="75">
        <v>19.091503267973856</v>
      </c>
      <c r="G42" s="327">
        <f>GETPIVOTDATA("ADOC",$A$15,"sost","Estatal","entidad","Tabasco","Año",2022)-GETPIVOTDATA("ADOC",$A$15,"sost","Estatal","entidad","Tabasco","Año",2021)</f>
        <v>0.68133377644843307</v>
      </c>
      <c r="H42" s="327">
        <f>GETPIVOTDATA("ADOC",$A$15,"sost","Estatal","entidad","Tabasco","Año",2022)-GETPIVOTDATA("ADOC",$A$15,"sost","Estatal","entidad","Tabasco","Año",2018)</f>
        <v>1.6673336001066019E-2</v>
      </c>
      <c r="I42" s="2"/>
      <c r="J42" s="2"/>
      <c r="K42" s="2"/>
    </row>
    <row r="43" spans="1:11">
      <c r="A43" s="51" t="s">
        <v>24</v>
      </c>
      <c r="B43" s="75">
        <v>21.992268041237114</v>
      </c>
      <c r="C43" s="75">
        <v>20.130434782608695</v>
      </c>
      <c r="D43" s="75">
        <v>19.63049095607235</v>
      </c>
      <c r="E43" s="75">
        <v>18.793478260869566</v>
      </c>
      <c r="F43" s="75">
        <v>22.324929971988794</v>
      </c>
      <c r="G43" s="326">
        <f>GETPIVOTDATA("ADOC",$A$15,"sost","Estatal","entidad","Tamaulipas","Año",2022)-GETPIVOTDATA("ADOC",$A$15,"sost","Estatal","entidad","Tamaulipas","Año",2021)</f>
        <v>3.5314517111192281</v>
      </c>
      <c r="H43" s="326">
        <f>GETPIVOTDATA("ADOC",$A$15,"sost","Estatal","entidad","Tamaulipas","Año",2022)-GETPIVOTDATA("ADOC",$A$15,"sost","Estatal","entidad","Tamaulipas","Año",2018)</f>
        <v>0.33266193075168005</v>
      </c>
      <c r="I43" s="2"/>
      <c r="J43" s="2"/>
      <c r="K43" s="2"/>
    </row>
    <row r="44" spans="1:11">
      <c r="A44" s="51" t="s">
        <v>25</v>
      </c>
      <c r="B44" s="75">
        <v>17.758241758241759</v>
      </c>
      <c r="C44" s="75">
        <v>17.162162162162161</v>
      </c>
      <c r="D44" s="75">
        <v>17.759776536312849</v>
      </c>
      <c r="E44" s="75">
        <v>17.477777777777778</v>
      </c>
      <c r="F44" s="75">
        <v>18.942857142857143</v>
      </c>
      <c r="G44" s="327">
        <f>GETPIVOTDATA("ADOC",$A$15,"sost","Estatal","entidad","Tlaxcala","Año",2022)-GETPIVOTDATA("ADOC",$A$15,"sost","Estatal","entidad","Tlaxcala","Año",2021)</f>
        <v>1.4650793650793652</v>
      </c>
      <c r="H44" s="327">
        <f>GETPIVOTDATA("ADOC",$A$15,"sost","Estatal","entidad","Tlaxcala","Año",2022)-GETPIVOTDATA("ADOC",$A$15,"sost","Estatal","entidad","Tlaxcala","Año",2018)</f>
        <v>1.184615384615384</v>
      </c>
      <c r="I44" s="2"/>
      <c r="J44" s="2"/>
      <c r="K44" s="2"/>
    </row>
    <row r="45" spans="1:11">
      <c r="A45" s="51" t="s">
        <v>53</v>
      </c>
      <c r="B45" s="75">
        <v>16.681732580037664</v>
      </c>
      <c r="C45" s="75">
        <v>17.164794007490638</v>
      </c>
      <c r="D45" s="75">
        <v>18.834244080145719</v>
      </c>
      <c r="E45" s="75">
        <v>20.28495575221239</v>
      </c>
      <c r="F45" s="75">
        <v>21.135135135135137</v>
      </c>
      <c r="G45" s="326">
        <f>GETPIVOTDATA("ADOC",$A$15,"sost","Estatal","entidad","Veracruz llave","Año",2022)-GETPIVOTDATA("ADOC",$A$15,"sost","Estatal","entidad","Veracruz llave","Año",2021)</f>
        <v>0.85017938292274664</v>
      </c>
      <c r="H45" s="326">
        <f>GETPIVOTDATA("ADOC",$A$15,"sost","Estatal","entidad","Veracruz llave","Año",2022)-GETPIVOTDATA("ADOC",$A$15,"sost","Estatal","entidad","Veracruz llave","Año",2018)</f>
        <v>4.4534025550974725</v>
      </c>
      <c r="I45" s="2"/>
      <c r="J45" s="2"/>
      <c r="K45" s="2"/>
    </row>
    <row r="46" spans="1:11">
      <c r="A46" s="51" t="s">
        <v>26</v>
      </c>
      <c r="B46" s="75">
        <v>19.144404332129962</v>
      </c>
      <c r="C46" s="75">
        <v>19.446096654275092</v>
      </c>
      <c r="D46" s="75">
        <v>19.915129151291513</v>
      </c>
      <c r="E46" s="75">
        <v>20.03409090909091</v>
      </c>
      <c r="F46" s="75">
        <v>21.324324324324323</v>
      </c>
      <c r="G46" s="327">
        <f>GETPIVOTDATA("ADOC",$A$15,"sost","Estatal","entidad","Yucatán","Año",2022)-GETPIVOTDATA("ADOC",$A$15,"sost","Estatal","entidad","Yucatán","Año",2021)</f>
        <v>1.2902334152334127</v>
      </c>
      <c r="H46" s="327">
        <f>GETPIVOTDATA("ADOC",$A$15,"sost","Estatal","entidad","Yucatán","Año",2022)-GETPIVOTDATA("ADOC",$A$15,"sost","Estatal","entidad","Yucatán","Año",2018)</f>
        <v>2.1799199921943604</v>
      </c>
      <c r="I46" s="2"/>
      <c r="J46" s="2"/>
      <c r="K46" s="2"/>
    </row>
    <row r="47" spans="1:11">
      <c r="A47" s="51" t="s">
        <v>27</v>
      </c>
      <c r="B47" s="75">
        <v>18.094117647058823</v>
      </c>
      <c r="C47" s="75">
        <v>17.270588235294117</v>
      </c>
      <c r="D47" s="75">
        <v>15.435294117647059</v>
      </c>
      <c r="E47" s="75">
        <v>17.962025316455698</v>
      </c>
      <c r="F47" s="75">
        <v>18.234567901234566</v>
      </c>
      <c r="G47" s="326">
        <f>GETPIVOTDATA("ADOC",$A$15,"sost","Estatal","entidad","Zacatecas","Año",2022)-GETPIVOTDATA("ADOC",$A$15,"sost","Estatal","entidad","Zacatecas","Año",2021)</f>
        <v>0.2725425847788685</v>
      </c>
      <c r="H47" s="326">
        <f>GETPIVOTDATA("ADOC",$A$15,"sost","Estatal","entidad","Zacatecas","Año",2022)-GETPIVOTDATA("ADOC",$A$15,"sost","Estatal","entidad","Zacatecas","Año",2018)</f>
        <v>0.14045025417574308</v>
      </c>
      <c r="I47" s="2"/>
      <c r="J47" s="2"/>
      <c r="K47" s="2"/>
    </row>
    <row r="48" spans="1:11">
      <c r="A48" s="49" t="s">
        <v>50</v>
      </c>
      <c r="B48" s="80">
        <v>19.539836766420521</v>
      </c>
      <c r="C48" s="80">
        <v>19.713893249607537</v>
      </c>
      <c r="D48" s="80">
        <v>20.035162287480681</v>
      </c>
      <c r="E48" s="80">
        <v>19.667293233082706</v>
      </c>
      <c r="F48" s="80">
        <v>19.695702225633156</v>
      </c>
      <c r="G48" s="328">
        <f>GETPIVOTDATA("ADOC",$A$15,"sost","Federal","Año",2022)-GETPIVOTDATA("ADOC",$A$15,"sost","Federal","Año",2021)</f>
        <v>2.8408992550449597E-2</v>
      </c>
      <c r="H48" s="328">
        <f>GETPIVOTDATA("ADOC",$A$15,"sost","Federal","Año",2022)-GETPIVOTDATA("ADOC",$A$15,"sost","Federal","Año",2018)</f>
        <v>0.15586545921263451</v>
      </c>
      <c r="I48" s="2"/>
      <c r="J48" s="2"/>
      <c r="K48" s="2"/>
    </row>
    <row r="49" spans="1:11">
      <c r="A49" s="51" t="s">
        <v>32</v>
      </c>
      <c r="B49" s="75">
        <v>20.322595490105844</v>
      </c>
      <c r="C49" s="75">
        <v>20.395078922934076</v>
      </c>
      <c r="D49" s="75">
        <v>20.708693673190716</v>
      </c>
      <c r="E49" s="75">
        <v>20.522295805739514</v>
      </c>
      <c r="F49" s="75">
        <v>20.390255009107467</v>
      </c>
      <c r="G49" s="326">
        <f>GETPIVOTDATA("ADOC",$A$15,"sost","Federal","entidad","Ciudad de México","Año",2022)-GETPIVOTDATA("ADOC",$A$15,"sost","Federal","entidad","Ciudad de México","Año",2021)</f>
        <v>-0.13204079663204737</v>
      </c>
      <c r="H49" s="326">
        <f>GETPIVOTDATA("ADOC",$A$15,"sost","Federal","entidad","Ciudad de México","Año",2022)-GETPIVOTDATA("ADOC",$A$15,"sost","Federal","entidad","Ciudad de México","Año",2018)</f>
        <v>6.7659519001622925E-2</v>
      </c>
      <c r="I49" s="2"/>
      <c r="J49" s="2"/>
      <c r="K49" s="2"/>
    </row>
    <row r="50" spans="1:11">
      <c r="A50" s="51" t="s">
        <v>28</v>
      </c>
      <c r="B50" s="75">
        <v>15.2875</v>
      </c>
      <c r="C50" s="75">
        <v>15.98984771573604</v>
      </c>
      <c r="D50" s="75">
        <v>16.25063938618926</v>
      </c>
      <c r="E50" s="75">
        <v>14.764556962025317</v>
      </c>
      <c r="F50" s="75">
        <v>15.975609756097562</v>
      </c>
      <c r="G50" s="327">
        <f>GETPIVOTDATA("ADOC",$A$15,"sost","Federal","entidad","Oaxaca","Año",2022)-GETPIVOTDATA("ADOC",$A$15,"sost","Federal","entidad","Oaxaca","Año",2021)</f>
        <v>1.2110527940722449</v>
      </c>
      <c r="H50" s="327">
        <f>GETPIVOTDATA("ADOC",$A$15,"sost","Federal","entidad","Oaxaca","Año",2022)-GETPIVOTDATA("ADOC",$A$15,"sost","Federal","entidad","Oaxaca","Año",2018)</f>
        <v>0.6881097560975622</v>
      </c>
      <c r="I50" s="2"/>
      <c r="J50" s="2"/>
      <c r="K50" s="2"/>
    </row>
    <row r="51" spans="1:11" hidden="1">
      <c r="A51" s="51" t="s">
        <v>39</v>
      </c>
      <c r="B51" s="107">
        <v>0</v>
      </c>
      <c r="C51" s="107">
        <v>0</v>
      </c>
      <c r="D51" s="107">
        <v>0</v>
      </c>
      <c r="E51" s="107">
        <v>0</v>
      </c>
      <c r="F51" s="107">
        <v>0</v>
      </c>
      <c r="G51" s="336">
        <f>GETPIVOTDATA("ADOC",$A$15,"sost","Federal","entidad","Oficinas Nacionales","Año",2022)-GETPIVOTDATA("ADOC",$A$15,"sost","Federal","entidad","Oficinas Nacionales","Año",2021)</f>
        <v>0</v>
      </c>
      <c r="H51" s="336">
        <f>GETPIVOTDATA("ADOC",$A$15,"sost","Federal","entidad","Oficinas Nacionales","Año",2022)-GETPIVOTDATA("ADOC",$A$15,"sost","Federal","entidad","Oficinas Nacionales","Año",2018)</f>
        <v>0</v>
      </c>
    </row>
    <row r="52" spans="1:11" hidden="1">
      <c r="A52" s="49" t="s">
        <v>124</v>
      </c>
      <c r="B52" s="107">
        <v>0</v>
      </c>
      <c r="C52" s="107">
        <v>0</v>
      </c>
      <c r="D52" s="107">
        <v>0</v>
      </c>
      <c r="E52" s="107">
        <v>0</v>
      </c>
      <c r="F52" s="107">
        <v>0</v>
      </c>
      <c r="G52" s="337">
        <f>GETPIVOTDATA("ADOC",$A$15,"sost","Otro","Año",2022)-GETPIVOTDATA("ADOC",$A$15,"sost","Otro","Año",2021)</f>
        <v>0</v>
      </c>
      <c r="H52" s="337">
        <f>GETPIVOTDATA("ADOC",$A$15,"sost","Otro","Año",2022)-GETPIVOTDATA("ADOC",$A$15,"sost","Otro","Año",2018)</f>
        <v>0</v>
      </c>
    </row>
    <row r="53" spans="1:11" hidden="1">
      <c r="A53" s="51" t="s">
        <v>40</v>
      </c>
      <c r="B53" s="107">
        <v>0</v>
      </c>
      <c r="C53" s="107">
        <v>0</v>
      </c>
      <c r="D53" s="107">
        <v>0</v>
      </c>
      <c r="E53" s="107">
        <v>0</v>
      </c>
      <c r="F53" s="107">
        <v>0</v>
      </c>
      <c r="G53" s="336">
        <f>GETPIVOTDATA("ADOC",$A$15,"sost","Otro","entidad","Otros","Año",2022)-GETPIVOTDATA("ADOC",$A$15,"sost","Otro","entidad","Otros","Año",2021)</f>
        <v>0</v>
      </c>
      <c r="H53" s="336">
        <f>GETPIVOTDATA("ADOC",$A$15,"sost","Otro","entidad","Otros","Año",2022)-GETPIVOTDATA("ADOC",$A$15,"sost","Otro","entidad","Otros","Año",2018)</f>
        <v>0</v>
      </c>
    </row>
    <row r="54" spans="1:11" hidden="1">
      <c r="A54" s="49" t="s">
        <v>37</v>
      </c>
      <c r="B54" s="107">
        <v>19.570211683936176</v>
      </c>
      <c r="C54" s="107">
        <v>19.695579435042792</v>
      </c>
      <c r="D54" s="107">
        <v>19.987696113534277</v>
      </c>
      <c r="E54" s="107">
        <v>20.419106012658229</v>
      </c>
      <c r="F54" s="107">
        <v>21.226644628099173</v>
      </c>
      <c r="G54" s="338">
        <f>GETPIVOTDATA("ADOC",$A$15,"Año",2022)-GETPIVOTDATA("ADOC",$A$15,"Año",2021)</f>
        <v>0.80753861544094363</v>
      </c>
      <c r="H54" s="338">
        <f>GETPIVOTDATA("ADOC",$A$15,"Año",2022)-GETPIVOTDATA("ADOC",$A$15,"Año",2018)</f>
        <v>1.6564329441629972</v>
      </c>
    </row>
    <row r="56" spans="1:11" ht="14.25" customHeight="1">
      <c r="A56" s="84" t="s">
        <v>274</v>
      </c>
      <c r="B56" s="85"/>
      <c r="C56" s="85"/>
      <c r="D56" s="85"/>
      <c r="E56" s="85"/>
      <c r="F56" s="85"/>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59"/>
  <sheetViews>
    <sheetView showGridLines="0" topLeftCell="A2" zoomScale="120" zoomScaleNormal="120" workbookViewId="0">
      <selection activeCell="C23" sqref="C23"/>
    </sheetView>
  </sheetViews>
  <sheetFormatPr baseColWidth="10" defaultColWidth="11.42578125" defaultRowHeight="13.5"/>
  <cols>
    <col min="1" max="1" width="23.42578125" style="48" customWidth="1"/>
    <col min="2" max="9" width="8.7109375" style="48" customWidth="1"/>
    <col min="10" max="10" width="15.140625" style="48" bestFit="1" customWidth="1"/>
    <col min="11" max="11" width="11.5703125" style="48" bestFit="1" customWidth="1"/>
    <col min="12" max="12" width="15.140625" style="48" bestFit="1" customWidth="1"/>
    <col min="13" max="13" width="11.5703125" style="48" bestFit="1" customWidth="1"/>
    <col min="14" max="14" width="20.140625" style="48" bestFit="1" customWidth="1"/>
    <col min="15" max="15" width="16.5703125" style="48" bestFit="1" customWidth="1"/>
    <col min="16" max="16384" width="11.42578125" style="48"/>
  </cols>
  <sheetData>
    <row r="1" spans="1:9" s="3" customFormat="1" ht="15" customHeight="1">
      <c r="B1" s="1"/>
      <c r="C1" s="1"/>
      <c r="D1" s="1"/>
      <c r="E1" s="1"/>
      <c r="F1" s="1"/>
      <c r="G1" s="1"/>
      <c r="I1" s="64" t="s">
        <v>48</v>
      </c>
    </row>
    <row r="2" spans="1:9" s="3" customFormat="1" ht="15" customHeight="1">
      <c r="B2" s="1"/>
      <c r="C2" s="1"/>
      <c r="D2" s="1"/>
      <c r="E2" s="1"/>
      <c r="F2" s="1"/>
      <c r="G2" s="1"/>
      <c r="I2" s="6" t="s">
        <v>42</v>
      </c>
    </row>
    <row r="3" spans="1:9" s="3" customFormat="1" ht="11.25" customHeight="1">
      <c r="B3" s="1"/>
      <c r="C3" s="1"/>
      <c r="D3" s="1"/>
      <c r="E3" s="1"/>
      <c r="F3" s="1"/>
      <c r="G3" s="1"/>
      <c r="H3" s="63"/>
    </row>
    <row r="4" spans="1:9" s="3" customFormat="1" ht="5.25" customHeight="1">
      <c r="B4" s="1"/>
      <c r="C4" s="1"/>
      <c r="D4" s="1"/>
      <c r="E4" s="1"/>
      <c r="F4" s="1"/>
      <c r="G4" s="1"/>
      <c r="H4" s="63"/>
    </row>
    <row r="5" spans="1:9" s="3" customFormat="1" ht="15" customHeight="1">
      <c r="A5" s="367" t="s">
        <v>201</v>
      </c>
      <c r="B5" s="367"/>
      <c r="C5" s="367"/>
      <c r="D5" s="367"/>
      <c r="E5" s="367"/>
      <c r="F5" s="367"/>
      <c r="G5" s="367"/>
      <c r="H5" s="367"/>
      <c r="I5" s="367"/>
    </row>
    <row r="6" spans="1:9" s="3" customFormat="1" ht="5.25" customHeight="1">
      <c r="A6" s="5"/>
      <c r="B6" s="63"/>
      <c r="C6" s="65"/>
      <c r="D6" s="65"/>
      <c r="E6" s="66"/>
      <c r="F6" s="66"/>
      <c r="G6" s="66"/>
      <c r="H6" s="66"/>
    </row>
    <row r="7" spans="1:9" s="68" customFormat="1" ht="15" customHeight="1">
      <c r="A7" s="76" t="s">
        <v>180</v>
      </c>
      <c r="B7" s="76" t="s">
        <v>0</v>
      </c>
      <c r="C7" s="67"/>
      <c r="D7" s="67"/>
      <c r="E7" s="63"/>
      <c r="F7" s="63"/>
      <c r="G7" s="63"/>
      <c r="H7" s="63"/>
    </row>
    <row r="8" spans="1:9" s="68" customFormat="1" ht="14.1" customHeight="1">
      <c r="A8" s="77">
        <v>2013</v>
      </c>
      <c r="B8" s="96">
        <f>$B$57</f>
        <v>0</v>
      </c>
      <c r="C8" s="69"/>
      <c r="D8" s="67"/>
      <c r="E8" s="63"/>
      <c r="F8" s="63"/>
      <c r="G8" s="63"/>
      <c r="H8" s="63"/>
    </row>
    <row r="9" spans="1:9" s="68" customFormat="1" ht="14.1" customHeight="1">
      <c r="A9" s="77">
        <v>2014</v>
      </c>
      <c r="B9" s="96">
        <f>$C$57</f>
        <v>0</v>
      </c>
      <c r="C9" s="67"/>
      <c r="D9" s="67"/>
      <c r="E9" s="63"/>
      <c r="F9" s="63"/>
      <c r="G9" s="63"/>
      <c r="H9" s="63"/>
    </row>
    <row r="10" spans="1:9" s="68" customFormat="1" ht="14.1" customHeight="1">
      <c r="A10" s="77">
        <v>2015</v>
      </c>
      <c r="B10" s="96">
        <f>$D$57</f>
        <v>0</v>
      </c>
      <c r="C10" s="67"/>
      <c r="D10" s="67"/>
      <c r="E10" s="63"/>
      <c r="F10" s="63"/>
      <c r="G10" s="63"/>
      <c r="H10" s="63"/>
    </row>
    <row r="11" spans="1:9" s="68" customFormat="1" ht="14.1" customHeight="1">
      <c r="A11" s="77">
        <v>2016</v>
      </c>
      <c r="B11" s="96">
        <f>$E$57</f>
        <v>0</v>
      </c>
      <c r="C11" s="67"/>
      <c r="D11" s="67"/>
      <c r="E11" s="63"/>
      <c r="F11" s="63"/>
      <c r="G11" s="63"/>
      <c r="H11" s="63"/>
    </row>
    <row r="12" spans="1:9" s="68" customFormat="1" ht="14.1" customHeight="1">
      <c r="A12" s="77">
        <v>2017</v>
      </c>
      <c r="B12" s="96">
        <f>$F$57</f>
        <v>0</v>
      </c>
      <c r="C12" s="67"/>
      <c r="D12" s="67"/>
      <c r="E12" s="63"/>
      <c r="F12" s="63"/>
      <c r="G12" s="63"/>
      <c r="H12" s="63"/>
    </row>
    <row r="13" spans="1:9" s="68" customFormat="1" ht="14.1" customHeight="1">
      <c r="A13" s="77">
        <v>2018</v>
      </c>
      <c r="B13" s="96">
        <f>$G$57</f>
        <v>0</v>
      </c>
      <c r="C13" s="67"/>
      <c r="D13" s="67"/>
      <c r="E13" s="63"/>
      <c r="F13" s="63"/>
      <c r="G13" s="63"/>
      <c r="H13" s="63"/>
    </row>
    <row r="14" spans="1:9" s="68" customFormat="1" ht="14.1" customHeight="1">
      <c r="A14" s="77" t="s">
        <v>270</v>
      </c>
      <c r="B14" s="96">
        <f>$H$57</f>
        <v>0</v>
      </c>
      <c r="C14" s="67"/>
      <c r="D14" s="67"/>
      <c r="E14" s="63"/>
      <c r="F14" s="63"/>
      <c r="G14" s="63"/>
      <c r="H14" s="63"/>
    </row>
    <row r="15" spans="1:9" s="68" customFormat="1" ht="14.1" customHeight="1">
      <c r="A15" s="77" t="s">
        <v>307</v>
      </c>
      <c r="B15" s="96">
        <f>$I$57</f>
        <v>0</v>
      </c>
      <c r="C15" s="67"/>
      <c r="D15" s="67"/>
      <c r="E15" s="63"/>
      <c r="F15" s="63"/>
      <c r="G15" s="63"/>
      <c r="H15" s="63"/>
    </row>
    <row r="16" spans="1:9" s="68" customFormat="1" ht="14.1" customHeight="1">
      <c r="A16" s="79" t="s">
        <v>260</v>
      </c>
      <c r="B16" s="78" t="s">
        <v>2</v>
      </c>
      <c r="C16" s="67"/>
      <c r="D16" s="67"/>
      <c r="E16" s="63"/>
      <c r="F16" s="63"/>
      <c r="G16" s="63"/>
      <c r="H16" s="63"/>
    </row>
    <row r="17" spans="1:13" s="3" customFormat="1" ht="6.75" customHeight="1">
      <c r="A17" s="71"/>
      <c r="B17" s="365"/>
      <c r="C17" s="365"/>
      <c r="D17" s="365"/>
      <c r="E17" s="366"/>
      <c r="F17" s="366"/>
      <c r="G17" s="366"/>
      <c r="H17" s="72"/>
    </row>
    <row r="18" spans="1:13" ht="15" hidden="1">
      <c r="A18" s="83" t="s">
        <v>179</v>
      </c>
      <c r="B18" s="47" t="s">
        <v>45</v>
      </c>
      <c r="J18"/>
      <c r="K18" s="2"/>
      <c r="L18" s="2"/>
      <c r="M18" s="2"/>
    </row>
    <row r="19" spans="1:13" ht="15">
      <c r="A19" s="47" t="s">
        <v>156</v>
      </c>
      <c r="B19" s="48">
        <v>2013</v>
      </c>
      <c r="C19" s="48">
        <v>2014</v>
      </c>
      <c r="D19" s="48">
        <v>2015</v>
      </c>
      <c r="E19" s="48">
        <v>2016</v>
      </c>
      <c r="F19" s="48">
        <v>2017</v>
      </c>
      <c r="G19" s="48">
        <v>2018</v>
      </c>
      <c r="H19" s="48">
        <v>2019</v>
      </c>
      <c r="I19" s="48">
        <v>2020</v>
      </c>
      <c r="J19"/>
      <c r="K19" s="2"/>
      <c r="L19" s="2"/>
      <c r="M19" s="2"/>
    </row>
    <row r="20" spans="1:13" ht="15">
      <c r="A20" s="49" t="s">
        <v>49</v>
      </c>
      <c r="B20" s="75">
        <v>0</v>
      </c>
      <c r="C20" s="75">
        <v>0</v>
      </c>
      <c r="D20" s="75">
        <v>0</v>
      </c>
      <c r="E20" s="75">
        <v>0</v>
      </c>
      <c r="F20" s="75">
        <v>0</v>
      </c>
      <c r="G20" s="75">
        <v>0</v>
      </c>
      <c r="H20" s="75">
        <v>0</v>
      </c>
      <c r="I20" s="75">
        <v>0</v>
      </c>
      <c r="J20"/>
      <c r="K20" s="2"/>
      <c r="L20" s="2"/>
      <c r="M20" s="2"/>
    </row>
    <row r="21" spans="1:13" ht="15">
      <c r="A21" s="51" t="s">
        <v>1</v>
      </c>
      <c r="B21" s="75">
        <v>0</v>
      </c>
      <c r="C21" s="75">
        <v>0</v>
      </c>
      <c r="D21" s="75">
        <v>0</v>
      </c>
      <c r="E21" s="75">
        <v>0</v>
      </c>
      <c r="F21" s="75">
        <v>0</v>
      </c>
      <c r="G21" s="75">
        <v>0</v>
      </c>
      <c r="H21" s="75">
        <v>0</v>
      </c>
      <c r="I21" s="75">
        <v>0</v>
      </c>
      <c r="J21"/>
      <c r="K21" s="2"/>
      <c r="L21" s="2"/>
      <c r="M21" s="2"/>
    </row>
    <row r="22" spans="1:13" ht="15">
      <c r="A22" s="51" t="s">
        <v>3</v>
      </c>
      <c r="B22" s="75">
        <v>0</v>
      </c>
      <c r="C22" s="75">
        <v>0</v>
      </c>
      <c r="D22" s="75">
        <v>0</v>
      </c>
      <c r="E22" s="75">
        <v>0</v>
      </c>
      <c r="F22" s="75">
        <v>0</v>
      </c>
      <c r="G22" s="75">
        <v>0</v>
      </c>
      <c r="H22" s="75">
        <v>0</v>
      </c>
      <c r="I22" s="75">
        <v>0</v>
      </c>
      <c r="J22"/>
      <c r="K22" s="2"/>
      <c r="L22" s="2"/>
      <c r="M22" s="2"/>
    </row>
    <row r="23" spans="1:13" ht="15">
      <c r="A23" s="51" t="s">
        <v>4</v>
      </c>
      <c r="B23" s="75">
        <v>0</v>
      </c>
      <c r="C23" s="75">
        <v>0</v>
      </c>
      <c r="D23" s="75">
        <v>0</v>
      </c>
      <c r="E23" s="75">
        <v>0</v>
      </c>
      <c r="F23" s="75">
        <v>0</v>
      </c>
      <c r="G23" s="75">
        <v>0</v>
      </c>
      <c r="H23" s="75">
        <v>0</v>
      </c>
      <c r="I23" s="75">
        <v>0</v>
      </c>
      <c r="J23"/>
      <c r="K23" s="2"/>
      <c r="L23" s="2"/>
      <c r="M23" s="2"/>
    </row>
    <row r="24" spans="1:13" ht="15">
      <c r="A24" s="51" t="s">
        <v>5</v>
      </c>
      <c r="B24" s="75">
        <v>0</v>
      </c>
      <c r="C24" s="75">
        <v>0</v>
      </c>
      <c r="D24" s="75">
        <v>0</v>
      </c>
      <c r="E24" s="75">
        <v>0</v>
      </c>
      <c r="F24" s="75">
        <v>0</v>
      </c>
      <c r="G24" s="75">
        <v>0</v>
      </c>
      <c r="H24" s="75">
        <v>0</v>
      </c>
      <c r="I24" s="75">
        <v>0</v>
      </c>
      <c r="J24"/>
      <c r="K24" s="2"/>
      <c r="L24" s="2"/>
      <c r="M24" s="2"/>
    </row>
    <row r="25" spans="1:13" ht="15">
      <c r="A25" s="51" t="s">
        <v>6</v>
      </c>
      <c r="B25" s="75">
        <v>0</v>
      </c>
      <c r="C25" s="75">
        <v>0</v>
      </c>
      <c r="D25" s="75">
        <v>0</v>
      </c>
      <c r="E25" s="75">
        <v>0</v>
      </c>
      <c r="F25" s="75">
        <v>0</v>
      </c>
      <c r="G25" s="75">
        <v>0</v>
      </c>
      <c r="H25" s="75">
        <v>0</v>
      </c>
      <c r="I25" s="75">
        <v>0</v>
      </c>
      <c r="J25"/>
      <c r="K25" s="2"/>
      <c r="L25" s="2"/>
      <c r="M25" s="2"/>
    </row>
    <row r="26" spans="1:13" ht="15">
      <c r="A26" s="51" t="s">
        <v>7</v>
      </c>
      <c r="B26" s="75">
        <v>0</v>
      </c>
      <c r="C26" s="75">
        <v>0</v>
      </c>
      <c r="D26" s="75">
        <v>0</v>
      </c>
      <c r="E26" s="75">
        <v>0</v>
      </c>
      <c r="F26" s="75">
        <v>0</v>
      </c>
      <c r="G26" s="75">
        <v>0</v>
      </c>
      <c r="H26" s="75">
        <v>0</v>
      </c>
      <c r="I26" s="75">
        <v>0</v>
      </c>
      <c r="J26"/>
      <c r="K26" s="2"/>
      <c r="L26" s="2"/>
      <c r="M26" s="2"/>
    </row>
    <row r="27" spans="1:13" ht="15">
      <c r="A27" s="51" t="s">
        <v>31</v>
      </c>
      <c r="B27" s="75">
        <v>0</v>
      </c>
      <c r="C27" s="75">
        <v>0</v>
      </c>
      <c r="D27" s="75">
        <v>0</v>
      </c>
      <c r="E27" s="75">
        <v>0</v>
      </c>
      <c r="F27" s="75">
        <v>0</v>
      </c>
      <c r="G27" s="75">
        <v>0</v>
      </c>
      <c r="H27" s="75">
        <v>0</v>
      </c>
      <c r="I27" s="75">
        <v>0</v>
      </c>
      <c r="J27"/>
      <c r="K27" s="2"/>
      <c r="L27" s="2"/>
      <c r="M27" s="2"/>
    </row>
    <row r="28" spans="1:13" ht="15">
      <c r="A28" s="51" t="s">
        <v>8</v>
      </c>
      <c r="B28" s="75">
        <v>0</v>
      </c>
      <c r="C28" s="75">
        <v>0</v>
      </c>
      <c r="D28" s="75">
        <v>0</v>
      </c>
      <c r="E28" s="75">
        <v>0</v>
      </c>
      <c r="F28" s="75">
        <v>0</v>
      </c>
      <c r="G28" s="75">
        <v>0</v>
      </c>
      <c r="H28" s="75">
        <v>0</v>
      </c>
      <c r="I28" s="75">
        <v>0</v>
      </c>
      <c r="J28"/>
      <c r="K28" s="2"/>
      <c r="L28" s="2"/>
      <c r="M28" s="2"/>
    </row>
    <row r="29" spans="1:13" ht="15">
      <c r="A29" s="51" t="s">
        <v>9</v>
      </c>
      <c r="B29" s="75">
        <v>0</v>
      </c>
      <c r="C29" s="75">
        <v>0</v>
      </c>
      <c r="D29" s="75">
        <v>0</v>
      </c>
      <c r="E29" s="75">
        <v>0</v>
      </c>
      <c r="F29" s="75">
        <v>0</v>
      </c>
      <c r="G29" s="75">
        <v>0</v>
      </c>
      <c r="H29" s="75">
        <v>0</v>
      </c>
      <c r="I29" s="75">
        <v>0</v>
      </c>
      <c r="J29"/>
      <c r="K29" s="2"/>
      <c r="L29" s="2"/>
      <c r="M29" s="2"/>
    </row>
    <row r="30" spans="1:13" ht="15">
      <c r="A30" s="51" t="s">
        <v>10</v>
      </c>
      <c r="B30" s="75">
        <v>0</v>
      </c>
      <c r="C30" s="75">
        <v>0</v>
      </c>
      <c r="D30" s="75">
        <v>0</v>
      </c>
      <c r="E30" s="75">
        <v>0</v>
      </c>
      <c r="F30" s="75">
        <v>0</v>
      </c>
      <c r="G30" s="75">
        <v>0</v>
      </c>
      <c r="H30" s="75">
        <v>0</v>
      </c>
      <c r="I30" s="75">
        <v>0</v>
      </c>
      <c r="J30"/>
      <c r="K30" s="2"/>
      <c r="L30" s="2"/>
      <c r="M30" s="2"/>
    </row>
    <row r="31" spans="1:13" ht="15">
      <c r="A31" s="51" t="s">
        <v>11</v>
      </c>
      <c r="B31" s="75">
        <v>0</v>
      </c>
      <c r="C31" s="75">
        <v>0</v>
      </c>
      <c r="D31" s="75">
        <v>0</v>
      </c>
      <c r="E31" s="75">
        <v>0</v>
      </c>
      <c r="F31" s="75">
        <v>0</v>
      </c>
      <c r="G31" s="75">
        <v>0</v>
      </c>
      <c r="H31" s="75">
        <v>0</v>
      </c>
      <c r="I31" s="75">
        <v>0</v>
      </c>
      <c r="J31"/>
      <c r="K31" s="2"/>
      <c r="L31" s="2"/>
      <c r="M31" s="2"/>
    </row>
    <row r="32" spans="1:13" ht="15">
      <c r="A32" s="51" t="s">
        <v>12</v>
      </c>
      <c r="B32" s="75">
        <v>0</v>
      </c>
      <c r="C32" s="75">
        <v>0</v>
      </c>
      <c r="D32" s="75">
        <v>0</v>
      </c>
      <c r="E32" s="75">
        <v>0</v>
      </c>
      <c r="F32" s="75">
        <v>0</v>
      </c>
      <c r="G32" s="75">
        <v>0</v>
      </c>
      <c r="H32" s="75">
        <v>0</v>
      </c>
      <c r="I32" s="75">
        <v>0</v>
      </c>
      <c r="J32"/>
      <c r="K32" s="2"/>
      <c r="L32" s="2"/>
      <c r="M32" s="2"/>
    </row>
    <row r="33" spans="1:13" ht="15">
      <c r="A33" s="51" t="s">
        <v>13</v>
      </c>
      <c r="B33" s="75">
        <v>0</v>
      </c>
      <c r="C33" s="75">
        <v>0</v>
      </c>
      <c r="D33" s="75">
        <v>0</v>
      </c>
      <c r="E33" s="75">
        <v>0</v>
      </c>
      <c r="F33" s="75">
        <v>0</v>
      </c>
      <c r="G33" s="75">
        <v>0</v>
      </c>
      <c r="H33" s="75">
        <v>0</v>
      </c>
      <c r="I33" s="75">
        <v>0</v>
      </c>
      <c r="J33"/>
      <c r="K33" s="2"/>
      <c r="L33" s="2"/>
      <c r="M33" s="2"/>
    </row>
    <row r="34" spans="1:13" ht="15">
      <c r="A34" s="51" t="s">
        <v>14</v>
      </c>
      <c r="B34" s="75">
        <v>0</v>
      </c>
      <c r="C34" s="75">
        <v>0</v>
      </c>
      <c r="D34" s="75">
        <v>0</v>
      </c>
      <c r="E34" s="75">
        <v>0</v>
      </c>
      <c r="F34" s="75">
        <v>0</v>
      </c>
      <c r="G34" s="75">
        <v>0</v>
      </c>
      <c r="H34" s="75">
        <v>0</v>
      </c>
      <c r="I34" s="75">
        <v>0</v>
      </c>
      <c r="J34"/>
      <c r="K34" s="2"/>
      <c r="L34" s="2"/>
      <c r="M34" s="2"/>
    </row>
    <row r="35" spans="1:13" ht="15">
      <c r="A35" s="51" t="s">
        <v>30</v>
      </c>
      <c r="B35" s="75">
        <v>0</v>
      </c>
      <c r="C35" s="75">
        <v>0</v>
      </c>
      <c r="D35" s="75">
        <v>0</v>
      </c>
      <c r="E35" s="75">
        <v>0</v>
      </c>
      <c r="F35" s="75">
        <v>0</v>
      </c>
      <c r="G35" s="75">
        <v>0</v>
      </c>
      <c r="H35" s="75">
        <v>0</v>
      </c>
      <c r="I35" s="75">
        <v>0</v>
      </c>
      <c r="J35"/>
      <c r="K35" s="2"/>
      <c r="L35" s="2"/>
      <c r="M35" s="2"/>
    </row>
    <row r="36" spans="1:13" ht="15">
      <c r="A36" s="51" t="s">
        <v>15</v>
      </c>
      <c r="B36" s="75">
        <v>0</v>
      </c>
      <c r="C36" s="75">
        <v>0</v>
      </c>
      <c r="D36" s="75">
        <v>0</v>
      </c>
      <c r="E36" s="75">
        <v>0</v>
      </c>
      <c r="F36" s="75">
        <v>0</v>
      </c>
      <c r="G36" s="75">
        <v>0</v>
      </c>
      <c r="H36" s="75">
        <v>0</v>
      </c>
      <c r="I36" s="75">
        <v>0</v>
      </c>
      <c r="J36"/>
      <c r="K36" s="2"/>
      <c r="L36" s="2"/>
      <c r="M36" s="2"/>
    </row>
    <row r="37" spans="1:13" ht="15">
      <c r="A37" s="51" t="s">
        <v>16</v>
      </c>
      <c r="B37" s="75">
        <v>0</v>
      </c>
      <c r="C37" s="75">
        <v>0</v>
      </c>
      <c r="D37" s="75">
        <v>0</v>
      </c>
      <c r="E37" s="75">
        <v>0</v>
      </c>
      <c r="F37" s="75">
        <v>0</v>
      </c>
      <c r="G37" s="75">
        <v>0</v>
      </c>
      <c r="H37" s="75">
        <v>0</v>
      </c>
      <c r="I37" s="75">
        <v>0</v>
      </c>
      <c r="J37"/>
      <c r="K37" s="2"/>
      <c r="L37" s="2"/>
      <c r="M37" s="2"/>
    </row>
    <row r="38" spans="1:13" ht="15">
      <c r="A38" s="51" t="s">
        <v>17</v>
      </c>
      <c r="B38" s="75">
        <v>0</v>
      </c>
      <c r="C38" s="75">
        <v>0</v>
      </c>
      <c r="D38" s="75">
        <v>0</v>
      </c>
      <c r="E38" s="75">
        <v>0</v>
      </c>
      <c r="F38" s="75">
        <v>0</v>
      </c>
      <c r="G38" s="75">
        <v>0</v>
      </c>
      <c r="H38" s="75">
        <v>0</v>
      </c>
      <c r="I38" s="75">
        <v>0</v>
      </c>
      <c r="J38"/>
      <c r="K38" s="2"/>
      <c r="L38" s="2"/>
      <c r="M38" s="2"/>
    </row>
    <row r="39" spans="1:13" ht="15">
      <c r="A39" s="51" t="s">
        <v>18</v>
      </c>
      <c r="B39" s="75">
        <v>0</v>
      </c>
      <c r="C39" s="75">
        <v>0</v>
      </c>
      <c r="D39" s="75">
        <v>0</v>
      </c>
      <c r="E39" s="75">
        <v>0</v>
      </c>
      <c r="F39" s="75">
        <v>0</v>
      </c>
      <c r="G39" s="75">
        <v>0</v>
      </c>
      <c r="H39" s="75">
        <v>0</v>
      </c>
      <c r="I39" s="75">
        <v>0</v>
      </c>
      <c r="J39"/>
      <c r="K39" s="2"/>
      <c r="L39" s="2"/>
      <c r="M39" s="2"/>
    </row>
    <row r="40" spans="1:13" ht="15">
      <c r="A40" s="51" t="s">
        <v>29</v>
      </c>
      <c r="B40" s="75">
        <v>0</v>
      </c>
      <c r="C40" s="75">
        <v>0</v>
      </c>
      <c r="D40" s="75">
        <v>0</v>
      </c>
      <c r="E40" s="75">
        <v>0</v>
      </c>
      <c r="F40" s="75">
        <v>0</v>
      </c>
      <c r="G40" s="75">
        <v>0</v>
      </c>
      <c r="H40" s="75">
        <v>0</v>
      </c>
      <c r="I40" s="75">
        <v>0</v>
      </c>
      <c r="J40"/>
      <c r="K40" s="2"/>
      <c r="L40" s="2"/>
      <c r="M40" s="2"/>
    </row>
    <row r="41" spans="1:13" ht="15">
      <c r="A41" s="51" t="s">
        <v>19</v>
      </c>
      <c r="B41" s="75">
        <v>0</v>
      </c>
      <c r="C41" s="75">
        <v>0</v>
      </c>
      <c r="D41" s="75">
        <v>0</v>
      </c>
      <c r="E41" s="75">
        <v>0</v>
      </c>
      <c r="F41" s="75">
        <v>0</v>
      </c>
      <c r="G41" s="75">
        <v>0</v>
      </c>
      <c r="H41" s="75">
        <v>0</v>
      </c>
      <c r="I41" s="75">
        <v>0</v>
      </c>
      <c r="J41"/>
      <c r="K41" s="2"/>
      <c r="L41" s="2"/>
      <c r="M41" s="2"/>
    </row>
    <row r="42" spans="1:13" ht="15">
      <c r="A42" s="51" t="s">
        <v>20</v>
      </c>
      <c r="B42" s="75">
        <v>0</v>
      </c>
      <c r="C42" s="75">
        <v>0</v>
      </c>
      <c r="D42" s="75">
        <v>0</v>
      </c>
      <c r="E42" s="75">
        <v>0</v>
      </c>
      <c r="F42" s="75">
        <v>0</v>
      </c>
      <c r="G42" s="75">
        <v>0</v>
      </c>
      <c r="H42" s="75">
        <v>0</v>
      </c>
      <c r="I42" s="75">
        <v>0</v>
      </c>
      <c r="J42"/>
      <c r="K42" s="2"/>
      <c r="L42" s="2"/>
      <c r="M42" s="2"/>
    </row>
    <row r="43" spans="1:13" ht="15">
      <c r="A43" s="51" t="s">
        <v>21</v>
      </c>
      <c r="B43" s="75">
        <v>0</v>
      </c>
      <c r="C43" s="75">
        <v>0</v>
      </c>
      <c r="D43" s="75">
        <v>0</v>
      </c>
      <c r="E43" s="75">
        <v>0</v>
      </c>
      <c r="F43" s="75">
        <v>0</v>
      </c>
      <c r="G43" s="75">
        <v>0</v>
      </c>
      <c r="H43" s="75">
        <v>0</v>
      </c>
      <c r="I43" s="75">
        <v>0</v>
      </c>
      <c r="J43"/>
      <c r="K43" s="2"/>
      <c r="L43" s="2"/>
      <c r="M43" s="2"/>
    </row>
    <row r="44" spans="1:13" ht="15">
      <c r="A44" s="51" t="s">
        <v>22</v>
      </c>
      <c r="B44" s="75">
        <v>0</v>
      </c>
      <c r="C44" s="75">
        <v>0</v>
      </c>
      <c r="D44" s="75">
        <v>0</v>
      </c>
      <c r="E44" s="75">
        <v>0</v>
      </c>
      <c r="F44" s="75">
        <v>0</v>
      </c>
      <c r="G44" s="75">
        <v>0</v>
      </c>
      <c r="H44" s="75">
        <v>0</v>
      </c>
      <c r="I44" s="75">
        <v>0</v>
      </c>
      <c r="J44"/>
      <c r="K44" s="2"/>
      <c r="L44" s="2"/>
      <c r="M44" s="2"/>
    </row>
    <row r="45" spans="1:13" ht="15">
      <c r="A45" s="51" t="s">
        <v>23</v>
      </c>
      <c r="B45" s="75">
        <v>0</v>
      </c>
      <c r="C45" s="75">
        <v>0</v>
      </c>
      <c r="D45" s="75">
        <v>0</v>
      </c>
      <c r="E45" s="75">
        <v>0</v>
      </c>
      <c r="F45" s="75">
        <v>0</v>
      </c>
      <c r="G45" s="75">
        <v>0</v>
      </c>
      <c r="H45" s="75">
        <v>0</v>
      </c>
      <c r="I45" s="75">
        <v>0</v>
      </c>
      <c r="J45"/>
      <c r="K45" s="2"/>
      <c r="L45" s="2"/>
      <c r="M45" s="2"/>
    </row>
    <row r="46" spans="1:13" ht="15">
      <c r="A46" s="51" t="s">
        <v>24</v>
      </c>
      <c r="B46" s="75">
        <v>0</v>
      </c>
      <c r="C46" s="75">
        <v>0</v>
      </c>
      <c r="D46" s="75">
        <v>0</v>
      </c>
      <c r="E46" s="75">
        <v>0</v>
      </c>
      <c r="F46" s="75">
        <v>0</v>
      </c>
      <c r="G46" s="75">
        <v>0</v>
      </c>
      <c r="H46" s="75">
        <v>0</v>
      </c>
      <c r="I46" s="75">
        <v>0</v>
      </c>
      <c r="J46"/>
      <c r="K46" s="2"/>
      <c r="L46" s="2"/>
      <c r="M46" s="2"/>
    </row>
    <row r="47" spans="1:13" ht="15">
      <c r="A47" s="51" t="s">
        <v>25</v>
      </c>
      <c r="B47" s="75">
        <v>0</v>
      </c>
      <c r="C47" s="75">
        <v>0</v>
      </c>
      <c r="D47" s="75">
        <v>0</v>
      </c>
      <c r="E47" s="75">
        <v>0</v>
      </c>
      <c r="F47" s="75">
        <v>0</v>
      </c>
      <c r="G47" s="75">
        <v>0</v>
      </c>
      <c r="H47" s="75">
        <v>0</v>
      </c>
      <c r="I47" s="75">
        <v>0</v>
      </c>
      <c r="J47"/>
      <c r="K47" s="2"/>
      <c r="L47" s="2"/>
      <c r="M47" s="2"/>
    </row>
    <row r="48" spans="1:13" ht="15">
      <c r="A48" s="51" t="s">
        <v>53</v>
      </c>
      <c r="B48" s="75">
        <v>0</v>
      </c>
      <c r="C48" s="75">
        <v>0</v>
      </c>
      <c r="D48" s="75">
        <v>0</v>
      </c>
      <c r="E48" s="75">
        <v>0</v>
      </c>
      <c r="F48" s="75">
        <v>0</v>
      </c>
      <c r="G48" s="75">
        <v>0</v>
      </c>
      <c r="H48" s="75">
        <v>0</v>
      </c>
      <c r="I48" s="75">
        <v>0</v>
      </c>
      <c r="J48"/>
      <c r="K48" s="2"/>
      <c r="L48" s="2"/>
      <c r="M48" s="2"/>
    </row>
    <row r="49" spans="1:13" ht="15">
      <c r="A49" s="51" t="s">
        <v>26</v>
      </c>
      <c r="B49" s="75">
        <v>0</v>
      </c>
      <c r="C49" s="75">
        <v>0</v>
      </c>
      <c r="D49" s="75">
        <v>0</v>
      </c>
      <c r="E49" s="75">
        <v>0</v>
      </c>
      <c r="F49" s="75">
        <v>0</v>
      </c>
      <c r="G49" s="75">
        <v>0</v>
      </c>
      <c r="H49" s="75">
        <v>0</v>
      </c>
      <c r="I49" s="75">
        <v>0</v>
      </c>
      <c r="J49"/>
      <c r="K49" s="2"/>
      <c r="L49" s="2"/>
      <c r="M49" s="2"/>
    </row>
    <row r="50" spans="1:13" ht="15">
      <c r="A50" s="51" t="s">
        <v>27</v>
      </c>
      <c r="B50" s="75">
        <v>0</v>
      </c>
      <c r="C50" s="75">
        <v>0</v>
      </c>
      <c r="D50" s="75">
        <v>0</v>
      </c>
      <c r="E50" s="75">
        <v>0</v>
      </c>
      <c r="F50" s="75">
        <v>0</v>
      </c>
      <c r="G50" s="75">
        <v>0</v>
      </c>
      <c r="H50" s="75">
        <v>0</v>
      </c>
      <c r="I50" s="75">
        <v>0</v>
      </c>
      <c r="J50"/>
      <c r="K50" s="2"/>
      <c r="L50" s="2"/>
      <c r="M50" s="2"/>
    </row>
    <row r="51" spans="1:13" ht="15">
      <c r="A51" s="49" t="s">
        <v>50</v>
      </c>
      <c r="B51" s="80">
        <v>0</v>
      </c>
      <c r="C51" s="80">
        <v>0</v>
      </c>
      <c r="D51" s="80">
        <v>0</v>
      </c>
      <c r="E51" s="80">
        <v>0</v>
      </c>
      <c r="F51" s="80">
        <v>0</v>
      </c>
      <c r="G51" s="80">
        <v>0</v>
      </c>
      <c r="H51" s="80">
        <v>0</v>
      </c>
      <c r="I51" s="80">
        <v>0</v>
      </c>
      <c r="J51"/>
      <c r="K51" s="2"/>
      <c r="L51" s="2"/>
      <c r="M51" s="2"/>
    </row>
    <row r="52" spans="1:13" ht="15">
      <c r="A52" s="51" t="s">
        <v>32</v>
      </c>
      <c r="B52" s="75">
        <v>0</v>
      </c>
      <c r="C52" s="75">
        <v>0</v>
      </c>
      <c r="D52" s="75">
        <v>0</v>
      </c>
      <c r="E52" s="75">
        <v>0</v>
      </c>
      <c r="F52" s="75">
        <v>0</v>
      </c>
      <c r="G52" s="75">
        <v>0</v>
      </c>
      <c r="H52" s="75">
        <v>0</v>
      </c>
      <c r="I52" s="75">
        <v>0</v>
      </c>
      <c r="J52"/>
      <c r="K52" s="2"/>
      <c r="L52" s="2"/>
      <c r="M52" s="2"/>
    </row>
    <row r="53" spans="1:13" ht="15">
      <c r="A53" s="51" t="s">
        <v>28</v>
      </c>
      <c r="B53" s="75">
        <v>0</v>
      </c>
      <c r="C53" s="75">
        <v>0</v>
      </c>
      <c r="D53" s="75">
        <v>0</v>
      </c>
      <c r="E53" s="75">
        <v>0</v>
      </c>
      <c r="F53" s="75">
        <v>0</v>
      </c>
      <c r="G53" s="75">
        <v>0</v>
      </c>
      <c r="H53" s="75">
        <v>0</v>
      </c>
      <c r="I53" s="75">
        <v>0</v>
      </c>
      <c r="J53"/>
      <c r="K53" s="2"/>
      <c r="L53" s="2"/>
      <c r="M53" s="2"/>
    </row>
    <row r="54" spans="1:13" ht="15" hidden="1">
      <c r="A54" s="51" t="s">
        <v>39</v>
      </c>
      <c r="B54" s="75">
        <v>0</v>
      </c>
      <c r="C54" s="75">
        <v>0</v>
      </c>
      <c r="D54" s="75">
        <v>0</v>
      </c>
      <c r="E54" s="75">
        <v>0</v>
      </c>
      <c r="F54" s="75">
        <v>0</v>
      </c>
      <c r="G54" s="75">
        <v>0</v>
      </c>
      <c r="H54" s="75">
        <v>0</v>
      </c>
      <c r="I54" s="75">
        <v>0</v>
      </c>
      <c r="J54"/>
    </row>
    <row r="55" spans="1:13" ht="15" hidden="1">
      <c r="A55" s="49" t="s">
        <v>124</v>
      </c>
      <c r="B55" s="75">
        <v>0</v>
      </c>
      <c r="C55" s="75">
        <v>0</v>
      </c>
      <c r="D55" s="75">
        <v>0</v>
      </c>
      <c r="E55" s="75">
        <v>0</v>
      </c>
      <c r="F55" s="75">
        <v>0</v>
      </c>
      <c r="G55" s="75">
        <v>0</v>
      </c>
      <c r="H55" s="75">
        <v>0</v>
      </c>
      <c r="I55" s="75">
        <v>0</v>
      </c>
      <c r="J55"/>
    </row>
    <row r="56" spans="1:13" ht="15" hidden="1">
      <c r="A56" s="51" t="s">
        <v>40</v>
      </c>
      <c r="B56" s="75">
        <v>0</v>
      </c>
      <c r="C56" s="75">
        <v>0</v>
      </c>
      <c r="D56" s="75">
        <v>0</v>
      </c>
      <c r="E56" s="75">
        <v>0</v>
      </c>
      <c r="F56" s="75">
        <v>0</v>
      </c>
      <c r="G56" s="75">
        <v>0</v>
      </c>
      <c r="H56" s="75">
        <v>0</v>
      </c>
      <c r="I56" s="75">
        <v>0</v>
      </c>
      <c r="J56"/>
    </row>
    <row r="57" spans="1:13" ht="15" hidden="1">
      <c r="A57" s="49" t="s">
        <v>37</v>
      </c>
      <c r="B57" s="75">
        <v>0</v>
      </c>
      <c r="C57" s="75">
        <v>0</v>
      </c>
      <c r="D57" s="75">
        <v>0</v>
      </c>
      <c r="E57" s="75">
        <v>0</v>
      </c>
      <c r="F57" s="75">
        <v>0</v>
      </c>
      <c r="G57" s="75">
        <v>0</v>
      </c>
      <c r="H57" s="75">
        <v>0</v>
      </c>
      <c r="I57" s="75">
        <v>0</v>
      </c>
      <c r="J57"/>
    </row>
    <row r="58" spans="1:13" ht="9" customHeight="1">
      <c r="A58" s="3"/>
      <c r="B58" s="3"/>
      <c r="C58" s="3"/>
      <c r="D58" s="3"/>
      <c r="E58" s="3"/>
      <c r="F58" s="3"/>
      <c r="G58" s="3"/>
      <c r="H58" s="3"/>
    </row>
    <row r="59" spans="1:13" ht="53.25" customHeight="1">
      <c r="A59" s="370" t="s">
        <v>271</v>
      </c>
      <c r="B59" s="370"/>
      <c r="C59" s="370"/>
      <c r="D59" s="370"/>
      <c r="E59" s="370"/>
      <c r="F59" s="370"/>
      <c r="G59" s="370"/>
      <c r="H59" s="370"/>
      <c r="I59" s="370"/>
    </row>
  </sheetData>
  <mergeCells count="4">
    <mergeCell ref="B17:D17"/>
    <mergeCell ref="E17:G17"/>
    <mergeCell ref="A5:I5"/>
    <mergeCell ref="A59:I59"/>
  </mergeCells>
  <printOptions horizontalCentered="1"/>
  <pageMargins left="0.31496062992125984" right="0.31496062992125984" top="0.55118110236220474" bottom="0.55118110236220474" header="0.31496062992125984" footer="0.31496062992125984"/>
  <pageSetup paperSize="9" scale="97" orientation="portrait" r:id="rId2"/>
  <drawing r:id="rId3"/>
  <tableParts count="1">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56"/>
  <sheetViews>
    <sheetView showGridLines="0" view="pageBreakPreview" topLeftCell="A43" zoomScale="130" zoomScaleNormal="120" zoomScaleSheetLayoutView="130" workbookViewId="0">
      <selection activeCell="L39" sqref="L39"/>
    </sheetView>
  </sheetViews>
  <sheetFormatPr baseColWidth="10" defaultColWidth="11.42578125" defaultRowHeight="13.5"/>
  <cols>
    <col min="1" max="1" width="23.5703125" style="48" customWidth="1"/>
    <col min="2" max="8" width="9.5703125" style="48" customWidth="1"/>
    <col min="9" max="9" width="11.5703125" style="48" bestFit="1" customWidth="1"/>
    <col min="10" max="10" width="15.140625" style="48" bestFit="1" customWidth="1"/>
    <col min="11" max="11" width="11.5703125" style="48" bestFit="1" customWidth="1"/>
    <col min="12" max="12" width="20.140625" style="48" bestFit="1" customWidth="1"/>
    <col min="13" max="13" width="16.5703125" style="48" bestFit="1" customWidth="1"/>
    <col min="14" max="16384" width="11.42578125" style="48"/>
  </cols>
  <sheetData>
    <row r="1" spans="1:11" s="3" customFormat="1" ht="15" customHeight="1">
      <c r="B1" s="1"/>
      <c r="C1" s="1"/>
      <c r="D1" s="1"/>
      <c r="E1" s="1"/>
      <c r="H1" s="64" t="s">
        <v>48</v>
      </c>
    </row>
    <row r="2" spans="1:11" s="3" customFormat="1" ht="15" customHeight="1">
      <c r="B2" s="1"/>
      <c r="C2" s="1"/>
      <c r="D2" s="1"/>
      <c r="E2" s="1"/>
      <c r="H2" s="6" t="s">
        <v>42</v>
      </c>
    </row>
    <row r="3" spans="1:11" s="3" customFormat="1" ht="15" customHeight="1">
      <c r="B3" s="1"/>
      <c r="C3" s="1"/>
      <c r="D3" s="1"/>
      <c r="E3" s="1"/>
      <c r="F3" s="1"/>
    </row>
    <row r="4" spans="1:11" s="3" customFormat="1" ht="7.5" customHeight="1">
      <c r="B4" s="1"/>
      <c r="C4" s="1"/>
      <c r="D4" s="1"/>
      <c r="E4" s="1"/>
      <c r="F4" s="1"/>
    </row>
    <row r="5" spans="1:11" s="3" customFormat="1" ht="15" customHeight="1">
      <c r="A5" s="367" t="s">
        <v>192</v>
      </c>
      <c r="B5" s="367"/>
      <c r="C5" s="367"/>
      <c r="D5" s="367"/>
      <c r="E5" s="367"/>
      <c r="F5" s="367"/>
      <c r="G5" s="367"/>
      <c r="H5" s="367"/>
    </row>
    <row r="6" spans="1:11" s="3" customFormat="1" ht="8.1" customHeight="1">
      <c r="A6" s="122"/>
      <c r="B6" s="63"/>
      <c r="C6" s="65"/>
      <c r="D6" s="65"/>
      <c r="E6" s="66"/>
      <c r="F6" s="66"/>
    </row>
    <row r="7" spans="1:11" s="68" customFormat="1" ht="15" customHeight="1">
      <c r="A7" s="76" t="s">
        <v>45</v>
      </c>
      <c r="B7" s="76" t="s">
        <v>0</v>
      </c>
      <c r="C7" s="67"/>
      <c r="D7" s="67"/>
      <c r="E7" s="63"/>
      <c r="F7" s="63"/>
    </row>
    <row r="8" spans="1:11" s="68" customFormat="1" ht="15" customHeight="1">
      <c r="A8" s="77">
        <v>2018</v>
      </c>
      <c r="B8" s="108">
        <f>$B$54</f>
        <v>9.6625655189730395</v>
      </c>
      <c r="C8" s="69"/>
      <c r="D8" s="67"/>
      <c r="E8" s="63"/>
      <c r="F8" s="63"/>
    </row>
    <row r="9" spans="1:11" s="68" customFormat="1" ht="15" customHeight="1">
      <c r="A9" s="77">
        <v>2019</v>
      </c>
      <c r="B9" s="108">
        <f>$C$54</f>
        <v>9.6070117071027283</v>
      </c>
      <c r="C9" s="67"/>
      <c r="D9" s="67"/>
      <c r="E9" s="63"/>
      <c r="F9" s="63"/>
    </row>
    <row r="10" spans="1:11" s="68" customFormat="1" ht="15" customHeight="1">
      <c r="A10" s="77">
        <v>2020</v>
      </c>
      <c r="B10" s="108">
        <f>$D$54</f>
        <v>9.6365776340981135</v>
      </c>
      <c r="C10" s="67"/>
      <c r="D10" s="67"/>
      <c r="E10" s="63"/>
      <c r="F10" s="63"/>
    </row>
    <row r="11" spans="1:11" s="68" customFormat="1" ht="15" customHeight="1">
      <c r="A11" s="77">
        <v>2021</v>
      </c>
      <c r="B11" s="108">
        <f>$E$54</f>
        <v>9.7208813282696713</v>
      </c>
      <c r="C11" s="67"/>
      <c r="D11" s="67"/>
      <c r="E11" s="63"/>
      <c r="F11" s="63"/>
    </row>
    <row r="12" spans="1:11" s="68" customFormat="1" ht="15" customHeight="1">
      <c r="A12" s="77">
        <v>2022</v>
      </c>
      <c r="B12" s="108">
        <f>$F$54</f>
        <v>10.076676814914785</v>
      </c>
      <c r="C12" s="67"/>
      <c r="D12" s="67"/>
      <c r="E12" s="63"/>
      <c r="F12" s="63"/>
    </row>
    <row r="13" spans="1:11" s="68" customFormat="1" ht="15" customHeight="1">
      <c r="A13" s="79" t="s">
        <v>314</v>
      </c>
      <c r="B13" s="108">
        <f>B12-B11</f>
        <v>0.35579548664511407</v>
      </c>
      <c r="C13" s="67"/>
      <c r="D13" s="67"/>
      <c r="E13" s="63"/>
      <c r="F13" s="63"/>
    </row>
    <row r="14" spans="1:11" s="3" customFormat="1" ht="18.75">
      <c r="A14" s="71"/>
      <c r="B14" s="365"/>
      <c r="C14" s="365"/>
      <c r="D14" s="365"/>
      <c r="E14" s="366"/>
      <c r="F14" s="366"/>
    </row>
    <row r="15" spans="1:11" hidden="1">
      <c r="A15" s="83" t="s">
        <v>181</v>
      </c>
      <c r="B15" s="47" t="s">
        <v>45</v>
      </c>
      <c r="G15" s="311"/>
      <c r="H15" s="311"/>
      <c r="I15" s="2"/>
      <c r="J15" s="2"/>
      <c r="K15" s="2"/>
    </row>
    <row r="16" spans="1:11" ht="27">
      <c r="A16" s="47" t="s">
        <v>156</v>
      </c>
      <c r="B16" s="48">
        <v>2018</v>
      </c>
      <c r="C16" s="48">
        <v>2019</v>
      </c>
      <c r="D16" s="48">
        <v>2020</v>
      </c>
      <c r="E16" s="48">
        <v>2021</v>
      </c>
      <c r="F16" s="48">
        <v>2022</v>
      </c>
      <c r="G16" s="313" t="s">
        <v>331</v>
      </c>
      <c r="H16" s="313" t="s">
        <v>332</v>
      </c>
      <c r="I16" s="2"/>
      <c r="J16" s="2"/>
      <c r="K16" s="2"/>
    </row>
    <row r="17" spans="1:11">
      <c r="A17" s="49" t="s">
        <v>49</v>
      </c>
      <c r="B17" s="75">
        <v>9.3601875068134746</v>
      </c>
      <c r="C17" s="75">
        <v>9.2975035430066502</v>
      </c>
      <c r="D17" s="75">
        <v>9.272866019840837</v>
      </c>
      <c r="E17" s="75">
        <v>9.3536102329299755</v>
      </c>
      <c r="F17" s="75">
        <v>9.8014462734837746</v>
      </c>
      <c r="G17" s="324">
        <f>GETPIVOTDATA("APC",$A$15,"sost","Estatal","Año",2022)-GETPIVOTDATA("APC",$A$15,"sost","Estatal","Año",2021)</f>
        <v>0.44783604055379911</v>
      </c>
      <c r="H17" s="324">
        <f>GETPIVOTDATA("APC",$A$15,"sost","Estatal","Año",2022)-GETPIVOTDATA("APC",$A$15,"sost","Estatal","Año",2018)</f>
        <v>0.44125876667030006</v>
      </c>
      <c r="I17" s="2"/>
      <c r="J17" s="2"/>
      <c r="K17" s="2"/>
    </row>
    <row r="18" spans="1:11">
      <c r="A18" s="51" t="s">
        <v>1</v>
      </c>
      <c r="B18" s="75">
        <v>10.934731934731936</v>
      </c>
      <c r="C18" s="75">
        <v>10.564102564102564</v>
      </c>
      <c r="D18" s="75">
        <v>10.561771561771561</v>
      </c>
      <c r="E18" s="75">
        <v>9.8764568764568761</v>
      </c>
      <c r="F18" s="75">
        <v>10.335664335664335</v>
      </c>
      <c r="G18" s="327">
        <f>GETPIVOTDATA("APC",$A$15,"sost","Estatal","entidad","Aguascalientes","Año",2022)-GETPIVOTDATA("APC",$A$15,"sost","Estatal","entidad","Aguascalientes","Año",2021)</f>
        <v>0.45920745920745887</v>
      </c>
      <c r="H18" s="327">
        <f>GETPIVOTDATA("APC",$A$15,"sost","Estatal","entidad","Aguascalientes","Año",2022)-GETPIVOTDATA("APC",$A$15,"sost","Estatal","entidad","Aguascalientes","Año",2018)</f>
        <v>-0.59906759906760065</v>
      </c>
      <c r="I18" s="2"/>
      <c r="J18" s="2"/>
      <c r="K18" s="2"/>
    </row>
    <row r="19" spans="1:11">
      <c r="A19" s="51" t="s">
        <v>3</v>
      </c>
      <c r="B19" s="75">
        <v>11.297730307076101</v>
      </c>
      <c r="C19" s="75">
        <v>11.679572763684913</v>
      </c>
      <c r="D19" s="75">
        <v>11.510013351134846</v>
      </c>
      <c r="E19" s="75">
        <v>11.803738317757009</v>
      </c>
      <c r="F19" s="75">
        <v>12.317757009345794</v>
      </c>
      <c r="G19" s="326">
        <f>GETPIVOTDATA("APC",$A$15,"sost","Estatal","entidad","Baja California","Año",2022)-GETPIVOTDATA("APC",$A$15,"sost","Estatal","entidad","Baja California","Año",2021)</f>
        <v>0.51401869158878455</v>
      </c>
      <c r="H19" s="326">
        <f>GETPIVOTDATA("APC",$A$15,"sost","Estatal","entidad","Baja California","Año",2022)-GETPIVOTDATA("APC",$A$15,"sost","Estatal","entidad","Baja California","Año",2018)</f>
        <v>1.0200267022696927</v>
      </c>
      <c r="I19" s="2"/>
      <c r="J19" s="2"/>
      <c r="K19" s="2"/>
    </row>
    <row r="20" spans="1:11">
      <c r="A20" s="51" t="s">
        <v>4</v>
      </c>
      <c r="B20" s="75">
        <v>7.8202764976958523</v>
      </c>
      <c r="C20" s="75">
        <v>7.0875576036866361</v>
      </c>
      <c r="D20" s="75">
        <v>6.935483870967742</v>
      </c>
      <c r="E20" s="75">
        <v>7.0552995391705071</v>
      </c>
      <c r="F20" s="75">
        <v>7.7235023041474653</v>
      </c>
      <c r="G20" s="327">
        <f>GETPIVOTDATA("APC",$A$15,"sost","Estatal","entidad","Baja California Sur","Año",2022)-GETPIVOTDATA("APC",$A$15,"sost","Estatal","entidad","Baja California Sur","Año",2021)</f>
        <v>0.66820276497695819</v>
      </c>
      <c r="H20" s="327">
        <f>GETPIVOTDATA("APC",$A$15,"sost","Estatal","entidad","Baja California Sur","Año",2022)-GETPIVOTDATA("APC",$A$15,"sost","Estatal","entidad","Baja California Sur","Año",2018)</f>
        <v>-9.6774193548387011E-2</v>
      </c>
      <c r="I20" s="2"/>
      <c r="J20" s="2"/>
      <c r="K20" s="2"/>
    </row>
    <row r="21" spans="1:11">
      <c r="A21" s="51" t="s">
        <v>5</v>
      </c>
      <c r="B21" s="75">
        <v>5.7280966767371604</v>
      </c>
      <c r="C21" s="75">
        <v>5.9003021148036252</v>
      </c>
      <c r="D21" s="75">
        <v>5.9184290030211484</v>
      </c>
      <c r="E21" s="75">
        <v>5.8519637462235652</v>
      </c>
      <c r="F21" s="75">
        <v>6.4380664652567976</v>
      </c>
      <c r="G21" s="326">
        <f>GETPIVOTDATA("APC",$A$15,"sost","Estatal","entidad","Campeche","Año",2022)-GETPIVOTDATA("APC",$A$15,"sost","Estatal","entidad","Campeche","Año",2021)</f>
        <v>0.58610271903323241</v>
      </c>
      <c r="H21" s="326">
        <f>GETPIVOTDATA("APC",$A$15,"sost","Estatal","entidad","Campeche","Año",2022)-GETPIVOTDATA("APC",$A$15,"sost","Estatal","entidad","Campeche","Año",2018)</f>
        <v>0.70996978851963721</v>
      </c>
      <c r="I21" s="2"/>
      <c r="J21" s="2"/>
      <c r="K21" s="2"/>
    </row>
    <row r="22" spans="1:11">
      <c r="A22" s="51" t="s">
        <v>6</v>
      </c>
      <c r="B22" s="75">
        <v>9.8207282913165272</v>
      </c>
      <c r="C22" s="75">
        <v>9.2759103641456591</v>
      </c>
      <c r="D22" s="75">
        <v>9.9509803921568629</v>
      </c>
      <c r="E22" s="75">
        <v>11.903361344537815</v>
      </c>
      <c r="F22" s="75">
        <v>12.119047619047619</v>
      </c>
      <c r="G22" s="327">
        <f>GETPIVOTDATA("APC",$A$15,"sost","Estatal","entidad","Chiapas","Año",2022)-GETPIVOTDATA("APC",$A$15,"sost","Estatal","entidad","Chiapas","Año",2021)</f>
        <v>0.21568627450980316</v>
      </c>
      <c r="H22" s="327">
        <f>GETPIVOTDATA("APC",$A$15,"sost","Estatal","entidad","Chiapas","Año",2022)-GETPIVOTDATA("APC",$A$15,"sost","Estatal","entidad","Chiapas","Año",2018)</f>
        <v>2.2983193277310914</v>
      </c>
      <c r="I22" s="2"/>
      <c r="J22" s="2"/>
      <c r="K22" s="2"/>
    </row>
    <row r="23" spans="1:11">
      <c r="A23" s="51" t="s">
        <v>7</v>
      </c>
      <c r="B23" s="75">
        <v>8.7212614445574772</v>
      </c>
      <c r="C23" s="75">
        <v>9.0162767039674474</v>
      </c>
      <c r="D23" s="75">
        <v>8.777212614445574</v>
      </c>
      <c r="E23" s="75">
        <v>8.4801627670396744</v>
      </c>
      <c r="F23" s="75">
        <v>9.92472024415056</v>
      </c>
      <c r="G23" s="326">
        <f>GETPIVOTDATA("APC",$A$15,"sost","Estatal","entidad","Chihuahua","Año",2022)-GETPIVOTDATA("APC",$A$15,"sost","Estatal","entidad","Chihuahua","Año",2021)</f>
        <v>1.4445574771108856</v>
      </c>
      <c r="H23" s="326">
        <f>GETPIVOTDATA("APC",$A$15,"sost","Estatal","entidad","Chihuahua","Año",2022)-GETPIVOTDATA("APC",$A$15,"sost","Estatal","entidad","Chihuahua","Año",2018)</f>
        <v>1.2034587995930828</v>
      </c>
      <c r="I23" s="2"/>
      <c r="J23" s="2"/>
      <c r="K23" s="2"/>
    </row>
    <row r="24" spans="1:11">
      <c r="A24" s="51" t="s">
        <v>31</v>
      </c>
      <c r="B24" s="75">
        <v>9.1130587204206837</v>
      </c>
      <c r="C24" s="75">
        <v>9.1384750219106046</v>
      </c>
      <c r="D24" s="75">
        <v>9.0858895705521476</v>
      </c>
      <c r="E24" s="75">
        <v>8.8720420683610861</v>
      </c>
      <c r="F24" s="75">
        <v>8.8764241893076257</v>
      </c>
      <c r="G24" s="327">
        <f>GETPIVOTDATA("APC",$A$15,"sost","Estatal","entidad","Coahuila de Zaragoza","Año",2022)-GETPIVOTDATA("APC",$A$15,"sost","Estatal","entidad","Coahuila de Zaragoza","Año",2021)</f>
        <v>4.3821209465395583E-3</v>
      </c>
      <c r="H24" s="327">
        <f>GETPIVOTDATA("APC",$A$15,"sost","Estatal","entidad","Coahuila de Zaragoza","Año",2022)-GETPIVOTDATA("APC",$A$15,"sost","Estatal","entidad","Coahuila de Zaragoza","Año",2018)</f>
        <v>-0.23663453111305799</v>
      </c>
      <c r="I24" s="2"/>
      <c r="J24" s="2"/>
      <c r="K24" s="2"/>
    </row>
    <row r="25" spans="1:11">
      <c r="A25" s="51" t="s">
        <v>8</v>
      </c>
      <c r="B25" s="75">
        <v>5.9093749999999998</v>
      </c>
      <c r="C25" s="75">
        <v>6.0437500000000002</v>
      </c>
      <c r="D25" s="75">
        <v>5.7781250000000002</v>
      </c>
      <c r="E25" s="75">
        <v>5.5</v>
      </c>
      <c r="F25" s="75">
        <v>5.625</v>
      </c>
      <c r="G25" s="326">
        <f>GETPIVOTDATA("APC",$A$15,"sost","Estatal","entidad","Colima","Año",2022)-GETPIVOTDATA("APC",$A$15,"sost","Estatal","entidad","Colima","Año",2021)</f>
        <v>0.125</v>
      </c>
      <c r="H25" s="326">
        <f>GETPIVOTDATA("APC",$A$15,"sost","Estatal","entidad","Colima","Año",2022)-GETPIVOTDATA("APC",$A$15,"sost","Estatal","entidad","Colima","Año",2018)</f>
        <v>-0.28437499999999982</v>
      </c>
      <c r="I25" s="2"/>
      <c r="J25" s="2"/>
      <c r="K25" s="2"/>
    </row>
    <row r="26" spans="1:11">
      <c r="A26" s="51" t="s">
        <v>9</v>
      </c>
      <c r="B26" s="75">
        <v>7.4230769230769234</v>
      </c>
      <c r="C26" s="75">
        <v>7.2615384615384615</v>
      </c>
      <c r="D26" s="75">
        <v>6.157692307692308</v>
      </c>
      <c r="E26" s="75">
        <v>6.180769230769231</v>
      </c>
      <c r="F26" s="75">
        <v>6.8538461538461535</v>
      </c>
      <c r="G26" s="327">
        <f>GETPIVOTDATA("APC",$A$15,"sost","Estatal","entidad","Durango","Año",2022)-GETPIVOTDATA("APC",$A$15,"sost","Estatal","entidad","Durango","Año",2021)</f>
        <v>0.67307692307692246</v>
      </c>
      <c r="H26" s="327">
        <f>GETPIVOTDATA("APC",$A$15,"sost","Estatal","entidad","Durango","Año",2022)-GETPIVOTDATA("APC",$A$15,"sost","Estatal","entidad","Durango","Año",2018)</f>
        <v>-0.56923076923076987</v>
      </c>
      <c r="I26" s="2"/>
      <c r="J26" s="2"/>
      <c r="K26" s="2"/>
    </row>
    <row r="27" spans="1:11">
      <c r="A27" s="51" t="s">
        <v>10</v>
      </c>
      <c r="B27" s="75">
        <v>8.2908093278463646</v>
      </c>
      <c r="C27" s="75">
        <v>8.3031550068587112</v>
      </c>
      <c r="D27" s="75">
        <v>7.9858253315043441</v>
      </c>
      <c r="E27" s="75">
        <v>7.5272062185642437</v>
      </c>
      <c r="F27" s="75">
        <v>7.9140374942844076</v>
      </c>
      <c r="G27" s="326">
        <f>GETPIVOTDATA("APC",$A$15,"sost","Estatal","entidad","Guanajuato","Año",2022)-GETPIVOTDATA("APC",$A$15,"sost","Estatal","entidad","Guanajuato","Año",2021)</f>
        <v>0.38683127572016396</v>
      </c>
      <c r="H27" s="326">
        <f>GETPIVOTDATA("APC",$A$15,"sost","Estatal","entidad","Guanajuato","Año",2022)-GETPIVOTDATA("APC",$A$15,"sost","Estatal","entidad","Guanajuato","Año",2018)</f>
        <v>-0.37677183356195698</v>
      </c>
      <c r="I27" s="2"/>
      <c r="J27" s="2"/>
      <c r="K27" s="2"/>
    </row>
    <row r="28" spans="1:11">
      <c r="A28" s="51" t="s">
        <v>11</v>
      </c>
      <c r="B28" s="75">
        <v>8.5312934631432551</v>
      </c>
      <c r="C28" s="75">
        <v>8.4394993045897078</v>
      </c>
      <c r="D28" s="75">
        <v>8.3212795549374139</v>
      </c>
      <c r="E28" s="75">
        <v>8.0917941585535473</v>
      </c>
      <c r="F28" s="75">
        <v>8.3351877607788598</v>
      </c>
      <c r="G28" s="327">
        <f>GETPIVOTDATA("APC",$A$15,"sost","Estatal","entidad","Guerrero","Año",2022)-GETPIVOTDATA("APC",$A$15,"sost","Estatal","entidad","Guerrero","Año",2021)</f>
        <v>0.24339360222531248</v>
      </c>
      <c r="H28" s="327">
        <f>GETPIVOTDATA("APC",$A$15,"sost","Estatal","entidad","Guerrero","Año",2022)-GETPIVOTDATA("APC",$A$15,"sost","Estatal","entidad","Guerrero","Año",2018)</f>
        <v>-0.19610570236439528</v>
      </c>
      <c r="I28" s="2"/>
      <c r="J28" s="2"/>
      <c r="K28" s="2"/>
    </row>
    <row r="29" spans="1:11">
      <c r="A29" s="51" t="s">
        <v>12</v>
      </c>
      <c r="B29" s="75">
        <v>8.2219626168224291</v>
      </c>
      <c r="C29" s="75">
        <v>8.6098130841121492</v>
      </c>
      <c r="D29" s="75">
        <v>8.7476635514018692</v>
      </c>
      <c r="E29" s="75">
        <v>8.6074766355140184</v>
      </c>
      <c r="F29" s="75">
        <v>9.0771028037383186</v>
      </c>
      <c r="G29" s="326">
        <f>GETPIVOTDATA("APC",$A$15,"sost","Estatal","entidad","Hidalgo","Año",2022)-GETPIVOTDATA("APC",$A$15,"sost","Estatal","entidad","Hidalgo","Año",2021)</f>
        <v>0.46962616822430014</v>
      </c>
      <c r="H29" s="326">
        <f>GETPIVOTDATA("APC",$A$15,"sost","Estatal","entidad","Hidalgo","Año",2022)-GETPIVOTDATA("APC",$A$15,"sost","Estatal","entidad","Hidalgo","Año",2018)</f>
        <v>0.85514018691588944</v>
      </c>
      <c r="I29" s="2"/>
      <c r="J29" s="2"/>
      <c r="K29" s="2"/>
    </row>
    <row r="30" spans="1:11">
      <c r="A30" s="51" t="s">
        <v>13</v>
      </c>
      <c r="B30" s="75">
        <v>6.8814779270633402</v>
      </c>
      <c r="C30" s="75">
        <v>6.6190019193857967</v>
      </c>
      <c r="D30" s="75">
        <v>6.5302303262955856</v>
      </c>
      <c r="E30" s="75">
        <v>6.2893474088291743</v>
      </c>
      <c r="F30" s="75">
        <v>6.2773512476007678</v>
      </c>
      <c r="G30" s="327">
        <f>GETPIVOTDATA("APC",$A$15,"sost","Estatal","entidad","Jalisco","Año",2022)-GETPIVOTDATA("APC",$A$15,"sost","Estatal","entidad","Jalisco","Año",2021)</f>
        <v>-1.1996161228406521E-2</v>
      </c>
      <c r="H30" s="327">
        <f>GETPIVOTDATA("APC",$A$15,"sost","Estatal","entidad","Jalisco","Año",2022)-GETPIVOTDATA("APC",$A$15,"sost","Estatal","entidad","Jalisco","Año",2018)</f>
        <v>-0.60412667946257237</v>
      </c>
      <c r="I30" s="2"/>
      <c r="J30" s="2"/>
      <c r="K30" s="2"/>
    </row>
    <row r="31" spans="1:11">
      <c r="A31" s="51" t="s">
        <v>14</v>
      </c>
      <c r="B31" s="75">
        <v>10.782002249718785</v>
      </c>
      <c r="C31" s="75">
        <v>10.599325084364455</v>
      </c>
      <c r="D31" s="75">
        <v>10.575928008998876</v>
      </c>
      <c r="E31" s="75">
        <v>10.80517435320585</v>
      </c>
      <c r="F31" s="75">
        <v>11.370753655793026</v>
      </c>
      <c r="G31" s="326">
        <f>GETPIVOTDATA("APC",$A$15,"sost","Estatal","entidad","México","Año",2022)-GETPIVOTDATA("APC",$A$15,"sost","Estatal","entidad","México","Año",2021)</f>
        <v>0.56557930258717626</v>
      </c>
      <c r="H31" s="326">
        <f>GETPIVOTDATA("APC",$A$15,"sost","Estatal","entidad","México","Año",2022)-GETPIVOTDATA("APC",$A$15,"sost","Estatal","entidad","México","Año",2018)</f>
        <v>0.58875140607424115</v>
      </c>
      <c r="I31" s="2"/>
      <c r="J31" s="2"/>
      <c r="K31" s="2"/>
    </row>
    <row r="32" spans="1:11">
      <c r="A32" s="51" t="s">
        <v>30</v>
      </c>
      <c r="B32" s="75">
        <v>9.2084717607973428</v>
      </c>
      <c r="C32" s="75">
        <v>9.2117940199335546</v>
      </c>
      <c r="D32" s="75">
        <v>9.1877076411960132</v>
      </c>
      <c r="E32" s="75">
        <v>8.7583056478405314</v>
      </c>
      <c r="F32" s="75">
        <v>9.5174418604651159</v>
      </c>
      <c r="G32" s="327">
        <f>GETPIVOTDATA("APC",$A$15,"sost","Estatal","entidad","Michoacán de Ocampo","Año",2022)-GETPIVOTDATA("APC",$A$15,"sost","Estatal","entidad","Michoacán de Ocampo","Año",2021)</f>
        <v>0.75913621262458442</v>
      </c>
      <c r="H32" s="327">
        <f>GETPIVOTDATA("APC",$A$15,"sost","Estatal","entidad","Michoacán de Ocampo","Año",2022)-GETPIVOTDATA("APC",$A$15,"sost","Estatal","entidad","Michoacán de Ocampo","Año",2018)</f>
        <v>0.30897009966777311</v>
      </c>
      <c r="I32" s="2"/>
      <c r="J32" s="2"/>
      <c r="K32" s="2"/>
    </row>
    <row r="33" spans="1:11">
      <c r="A33" s="51" t="s">
        <v>15</v>
      </c>
      <c r="B33" s="75">
        <v>8.7218045112781954</v>
      </c>
      <c r="C33" s="75">
        <v>8.5</v>
      </c>
      <c r="D33" s="75">
        <v>8.1578947368421044</v>
      </c>
      <c r="E33" s="75">
        <v>8.0394736842105257</v>
      </c>
      <c r="F33" s="75">
        <v>9.003759398496241</v>
      </c>
      <c r="G33" s="326">
        <f>GETPIVOTDATA("APC",$A$15,"sost","Estatal","entidad","Morelos","Año",2022)-GETPIVOTDATA("APC",$A$15,"sost","Estatal","entidad","Morelos","Año",2021)</f>
        <v>0.9642857142857153</v>
      </c>
      <c r="H33" s="326">
        <f>GETPIVOTDATA("APC",$A$15,"sost","Estatal","entidad","Morelos","Año",2022)-GETPIVOTDATA("APC",$A$15,"sost","Estatal","entidad","Morelos","Año",2018)</f>
        <v>0.28195488721804551</v>
      </c>
      <c r="I33" s="2"/>
      <c r="J33" s="2"/>
      <c r="K33" s="2"/>
    </row>
    <row r="34" spans="1:11">
      <c r="A34" s="51" t="s">
        <v>16</v>
      </c>
      <c r="B34" s="75">
        <v>7.7396121883656512</v>
      </c>
      <c r="C34" s="75">
        <v>8.1274238227146807</v>
      </c>
      <c r="D34" s="75">
        <v>8.0166204986149587</v>
      </c>
      <c r="E34" s="75">
        <v>8.1689750692520775</v>
      </c>
      <c r="F34" s="75">
        <v>9.6592797783933513</v>
      </c>
      <c r="G34" s="327">
        <f>GETPIVOTDATA("APC",$A$15,"sost","Estatal","entidad","Nayarit","Año",2022)-GETPIVOTDATA("APC",$A$15,"sost","Estatal","entidad","Nayarit","Año",2021)</f>
        <v>1.4903047091412738</v>
      </c>
      <c r="H34" s="327">
        <f>GETPIVOTDATA("APC",$A$15,"sost","Estatal","entidad","Nayarit","Año",2022)-GETPIVOTDATA("APC",$A$15,"sost","Estatal","entidad","Nayarit","Año",2018)</f>
        <v>1.9196675900277</v>
      </c>
      <c r="I34" s="2"/>
      <c r="J34" s="2"/>
      <c r="K34" s="2"/>
    </row>
    <row r="35" spans="1:11">
      <c r="A35" s="51" t="s">
        <v>17</v>
      </c>
      <c r="B35" s="75">
        <v>13.767591994835378</v>
      </c>
      <c r="C35" s="75">
        <v>14.380890897353131</v>
      </c>
      <c r="D35" s="75">
        <v>14.178825048418334</v>
      </c>
      <c r="E35" s="75">
        <v>15.064557779212395</v>
      </c>
      <c r="F35" s="75">
        <v>13.984506132989026</v>
      </c>
      <c r="G35" s="326">
        <f>GETPIVOTDATA("APC",$A$15,"sost","Estatal","entidad","Nuevo León","Año",2022)-GETPIVOTDATA("APC",$A$15,"sost","Estatal","entidad","Nuevo León","Año",2021)</f>
        <v>-1.0800516462233691</v>
      </c>
      <c r="H35" s="326">
        <f>GETPIVOTDATA("APC",$A$15,"sost","Estatal","entidad","Nuevo León","Año",2022)-GETPIVOTDATA("APC",$A$15,"sost","Estatal","entidad","Nuevo León","Año",2018)</f>
        <v>0.21691413815364768</v>
      </c>
      <c r="I35" s="2"/>
      <c r="J35" s="2"/>
      <c r="K35" s="2"/>
    </row>
    <row r="36" spans="1:11">
      <c r="A36" s="51" t="s">
        <v>18</v>
      </c>
      <c r="B36" s="75">
        <v>7.2736318407960203</v>
      </c>
      <c r="C36" s="75">
        <v>7.1671641791044776</v>
      </c>
      <c r="D36" s="75">
        <v>7.2925373134328355</v>
      </c>
      <c r="E36" s="75">
        <v>7.5781094527363182</v>
      </c>
      <c r="F36" s="75">
        <v>7.6069651741293534</v>
      </c>
      <c r="G36" s="327">
        <f>GETPIVOTDATA("APC",$A$15,"sost","Estatal","entidad","Puebla","Año",2022)-GETPIVOTDATA("APC",$A$15,"sost","Estatal","entidad","Puebla","Año",2021)</f>
        <v>2.8855721393035161E-2</v>
      </c>
      <c r="H36" s="327">
        <f>GETPIVOTDATA("APC",$A$15,"sost","Estatal","entidad","Puebla","Año",2022)-GETPIVOTDATA("APC",$A$15,"sost","Estatal","entidad","Puebla","Año",2018)</f>
        <v>0.33333333333333304</v>
      </c>
      <c r="I36" s="2"/>
      <c r="J36" s="2"/>
      <c r="K36" s="2"/>
    </row>
    <row r="37" spans="1:11">
      <c r="A37" s="51" t="s">
        <v>29</v>
      </c>
      <c r="B37" s="75">
        <v>7.7349665924276172</v>
      </c>
      <c r="C37" s="75">
        <v>7.5456570155902005</v>
      </c>
      <c r="D37" s="75">
        <v>7.799554565701559</v>
      </c>
      <c r="E37" s="75">
        <v>7.9020044543429844</v>
      </c>
      <c r="F37" s="75">
        <v>8.5768374164810695</v>
      </c>
      <c r="G37" s="326">
        <f>GETPIVOTDATA("APC",$A$15,"sost","Estatal","entidad","Querétaro de Arteaga","Año",2022)-GETPIVOTDATA("APC",$A$15,"sost","Estatal","entidad","Querétaro de Arteaga","Año",2021)</f>
        <v>0.67483296213808508</v>
      </c>
      <c r="H37" s="326">
        <f>GETPIVOTDATA("APC",$A$15,"sost","Estatal","entidad","Querétaro de Arteaga","Año",2022)-GETPIVOTDATA("APC",$A$15,"sost","Estatal","entidad","Querétaro de Arteaga","Año",2018)</f>
        <v>0.84187082405345226</v>
      </c>
      <c r="I37" s="2"/>
      <c r="J37" s="2"/>
      <c r="K37" s="2"/>
    </row>
    <row r="38" spans="1:11">
      <c r="A38" s="51" t="s">
        <v>19</v>
      </c>
      <c r="B38" s="75">
        <v>11.141374837872892</v>
      </c>
      <c r="C38" s="75">
        <v>10.525291828793774</v>
      </c>
      <c r="D38" s="75">
        <v>11.184176394293125</v>
      </c>
      <c r="E38" s="75">
        <v>12.171206225680933</v>
      </c>
      <c r="F38" s="75">
        <v>12.879377431906615</v>
      </c>
      <c r="G38" s="327">
        <f>GETPIVOTDATA("APC",$A$15,"sost","Estatal","entidad","Quintana Roo","Año",2022)-GETPIVOTDATA("APC",$A$15,"sost","Estatal","entidad","Quintana Roo","Año",2021)</f>
        <v>0.70817120622568197</v>
      </c>
      <c r="H38" s="327">
        <f>GETPIVOTDATA("APC",$A$15,"sost","Estatal","entidad","Quintana Roo","Año",2022)-GETPIVOTDATA("APC",$A$15,"sost","Estatal","entidad","Quintana Roo","Año",2018)</f>
        <v>1.7380025940337234</v>
      </c>
      <c r="I38" s="2"/>
      <c r="J38" s="2"/>
      <c r="K38" s="2"/>
    </row>
    <row r="39" spans="1:11">
      <c r="A39" s="51" t="s">
        <v>20</v>
      </c>
      <c r="B39" s="75">
        <v>12.31615925058548</v>
      </c>
      <c r="C39" s="75">
        <v>11.988290398126464</v>
      </c>
      <c r="D39" s="75">
        <v>11.180327868852459</v>
      </c>
      <c r="E39" s="75">
        <v>11.208430913348947</v>
      </c>
      <c r="F39" s="75">
        <v>12.208430913348947</v>
      </c>
      <c r="G39" s="326">
        <f>GETPIVOTDATA("APC",$A$15,"sost","Estatal","entidad","San Luis Potosí","Año",2022)-GETPIVOTDATA("APC",$A$15,"sost","Estatal","entidad","San Luis Potosí","Año",2021)</f>
        <v>1</v>
      </c>
      <c r="H39" s="326">
        <f>GETPIVOTDATA("APC",$A$15,"sost","Estatal","entidad","San Luis Potosí","Año",2022)-GETPIVOTDATA("APC",$A$15,"sost","Estatal","entidad","San Luis Potosí","Año",2018)</f>
        <v>-0.10772833723653363</v>
      </c>
      <c r="I39" s="2"/>
      <c r="J39" s="2"/>
      <c r="K39" s="2"/>
    </row>
    <row r="40" spans="1:11">
      <c r="A40" s="51" t="s">
        <v>21</v>
      </c>
      <c r="B40" s="75">
        <v>7.7027752909579226</v>
      </c>
      <c r="C40" s="75">
        <v>7.7403760071620411</v>
      </c>
      <c r="D40" s="75">
        <v>7.3267681289167417</v>
      </c>
      <c r="E40" s="75">
        <v>7.0922112802148609</v>
      </c>
      <c r="F40" s="75">
        <v>7.6589077887197847</v>
      </c>
      <c r="G40" s="327">
        <f>GETPIVOTDATA("APC",$A$15,"sost","Estatal","entidad","Sinaloa","Año",2022)-GETPIVOTDATA("APC",$A$15,"sost","Estatal","entidad","Sinaloa","Año",2021)</f>
        <v>0.56669650850492381</v>
      </c>
      <c r="H40" s="327">
        <f>GETPIVOTDATA("APC",$A$15,"sost","Estatal","entidad","Sinaloa","Año",2022)-GETPIVOTDATA("APC",$A$15,"sost","Estatal","entidad","Sinaloa","Año",2018)</f>
        <v>-4.3867502238137845E-2</v>
      </c>
      <c r="I40" s="2"/>
      <c r="J40" s="2"/>
      <c r="K40" s="2"/>
    </row>
    <row r="41" spans="1:11">
      <c r="A41" s="51" t="s">
        <v>22</v>
      </c>
      <c r="B41" s="75">
        <v>17.299883313885648</v>
      </c>
      <c r="C41" s="75">
        <v>17.325554259043173</v>
      </c>
      <c r="D41" s="75">
        <v>18.033838973162194</v>
      </c>
      <c r="E41" s="75">
        <v>17.977829638273047</v>
      </c>
      <c r="F41" s="75">
        <v>18.784130688448073</v>
      </c>
      <c r="G41" s="326">
        <f>GETPIVOTDATA("APC",$A$15,"sost","Estatal","entidad","Sonora","Año",2022)-GETPIVOTDATA("APC",$A$15,"sost","Estatal","entidad","Sonora","Año",2021)</f>
        <v>0.80630105017502629</v>
      </c>
      <c r="H41" s="326">
        <f>GETPIVOTDATA("APC",$A$15,"sost","Estatal","entidad","Sonora","Año",2022)-GETPIVOTDATA("APC",$A$15,"sost","Estatal","entidad","Sonora","Año",2018)</f>
        <v>1.4842473745624254</v>
      </c>
      <c r="I41" s="2"/>
      <c r="J41" s="2"/>
      <c r="K41" s="2"/>
    </row>
    <row r="42" spans="1:11">
      <c r="A42" s="51" t="s">
        <v>23</v>
      </c>
      <c r="B42" s="75">
        <v>11.586776859504132</v>
      </c>
      <c r="C42" s="75">
        <v>11.320247933884298</v>
      </c>
      <c r="D42" s="75">
        <v>10.851239669421487</v>
      </c>
      <c r="E42" s="75">
        <v>11.221074380165289</v>
      </c>
      <c r="F42" s="75">
        <v>12.070247933884298</v>
      </c>
      <c r="G42" s="327">
        <f>GETPIVOTDATA("APC",$A$15,"sost","Estatal","entidad","Tabasco","Año",2022)-GETPIVOTDATA("APC",$A$15,"sost","Estatal","entidad","Tabasco","Año",2021)</f>
        <v>0.84917355371900882</v>
      </c>
      <c r="H42" s="327">
        <f>GETPIVOTDATA("APC",$A$15,"sost","Estatal","entidad","Tabasco","Año",2022)-GETPIVOTDATA("APC",$A$15,"sost","Estatal","entidad","Tabasco","Año",2018)</f>
        <v>0.48347107438016579</v>
      </c>
      <c r="I42" s="2"/>
      <c r="J42" s="2"/>
      <c r="K42" s="2"/>
    </row>
    <row r="43" spans="1:11">
      <c r="A43" s="51" t="s">
        <v>24</v>
      </c>
      <c r="B43" s="75">
        <v>7.9229340761374187</v>
      </c>
      <c r="C43" s="75">
        <v>7.3082636954503251</v>
      </c>
      <c r="D43" s="75">
        <v>7.0538532961931288</v>
      </c>
      <c r="E43" s="75">
        <v>6.4215413184772512</v>
      </c>
      <c r="F43" s="75">
        <v>7.4001857010213552</v>
      </c>
      <c r="G43" s="326">
        <f>GETPIVOTDATA("APC",$A$15,"sost","Estatal","entidad","Tamaulipas","Año",2022)-GETPIVOTDATA("APC",$A$15,"sost","Estatal","entidad","Tamaulipas","Año",2021)</f>
        <v>0.97864438254410402</v>
      </c>
      <c r="H43" s="326">
        <f>GETPIVOTDATA("APC",$A$15,"sost","Estatal","entidad","Tamaulipas","Año",2022)-GETPIVOTDATA("APC",$A$15,"sost","Estatal","entidad","Tamaulipas","Año",2018)</f>
        <v>-0.52274837511606354</v>
      </c>
      <c r="I43" s="2"/>
      <c r="J43" s="2"/>
      <c r="K43" s="2"/>
    </row>
    <row r="44" spans="1:11">
      <c r="A44" s="51" t="s">
        <v>25</v>
      </c>
      <c r="B44" s="75">
        <v>7.1032967032967029</v>
      </c>
      <c r="C44" s="75">
        <v>6.9780219780219781</v>
      </c>
      <c r="D44" s="75">
        <v>6.9868131868131869</v>
      </c>
      <c r="E44" s="75">
        <v>6.9142857142857146</v>
      </c>
      <c r="F44" s="75">
        <v>7.2857142857142856</v>
      </c>
      <c r="G44" s="327">
        <f>GETPIVOTDATA("APC",$A$15,"sost","Estatal","entidad","Tlaxcala","Año",2022)-GETPIVOTDATA("APC",$A$15,"sost","Estatal","entidad","Tlaxcala","Año",2021)</f>
        <v>0.371428571428571</v>
      </c>
      <c r="H44" s="327">
        <f>GETPIVOTDATA("APC",$A$15,"sost","Estatal","entidad","Tlaxcala","Año",2022)-GETPIVOTDATA("APC",$A$15,"sost","Estatal","entidad","Tlaxcala","Año",2018)</f>
        <v>0.18241758241758266</v>
      </c>
      <c r="I44" s="2"/>
      <c r="J44" s="2"/>
      <c r="K44" s="2"/>
    </row>
    <row r="45" spans="1:11">
      <c r="A45" s="51" t="s">
        <v>53</v>
      </c>
      <c r="B45" s="75">
        <v>5.740764744005185</v>
      </c>
      <c r="C45" s="75">
        <v>5.9403758911211924</v>
      </c>
      <c r="D45" s="75">
        <v>6.7012313674659758</v>
      </c>
      <c r="E45" s="75">
        <v>7.4277381723914448</v>
      </c>
      <c r="F45" s="75">
        <v>8.1088788075178222</v>
      </c>
      <c r="G45" s="326">
        <f>GETPIVOTDATA("APC",$A$15,"sost","Estatal","entidad","Veracruz llave","Año",2022)-GETPIVOTDATA("APC",$A$15,"sost","Estatal","entidad","Veracruz llave","Año",2021)</f>
        <v>0.68114063512637735</v>
      </c>
      <c r="H45" s="326">
        <f>GETPIVOTDATA("APC",$A$15,"sost","Estatal","entidad","Veracruz llave","Año",2022)-GETPIVOTDATA("APC",$A$15,"sost","Estatal","entidad","Veracruz llave","Año",2018)</f>
        <v>2.3681140635126372</v>
      </c>
      <c r="I45" s="2"/>
      <c r="J45" s="2"/>
      <c r="K45" s="2"/>
    </row>
    <row r="46" spans="1:11">
      <c r="A46" s="51" t="s">
        <v>26</v>
      </c>
      <c r="B46" s="75">
        <v>10.956611570247935</v>
      </c>
      <c r="C46" s="75">
        <v>10.807851239669422</v>
      </c>
      <c r="D46" s="75">
        <v>11.150826446280991</v>
      </c>
      <c r="E46" s="75">
        <v>10.927685950413224</v>
      </c>
      <c r="F46" s="75">
        <v>11.411157024793388</v>
      </c>
      <c r="G46" s="327">
        <f>GETPIVOTDATA("APC",$A$15,"sost","Estatal","entidad","Yucatán","Año",2022)-GETPIVOTDATA("APC",$A$15,"sost","Estatal","entidad","Yucatán","Año",2021)</f>
        <v>0.48347107438016401</v>
      </c>
      <c r="H46" s="327">
        <f>GETPIVOTDATA("APC",$A$15,"sost","Estatal","entidad","Yucatán","Año",2022)-GETPIVOTDATA("APC",$A$15,"sost","Estatal","entidad","Yucatán","Año",2018)</f>
        <v>0.45454545454545325</v>
      </c>
      <c r="I46" s="2"/>
      <c r="J46" s="2"/>
      <c r="K46" s="2"/>
    </row>
    <row r="47" spans="1:11">
      <c r="A47" s="51" t="s">
        <v>27</v>
      </c>
      <c r="B47" s="75">
        <v>7.8071065989847712</v>
      </c>
      <c r="C47" s="75">
        <v>7.4517766497461926</v>
      </c>
      <c r="D47" s="75">
        <v>6.6598984771573608</v>
      </c>
      <c r="E47" s="75">
        <v>7.2030456852791875</v>
      </c>
      <c r="F47" s="75">
        <v>7.4974619289340101</v>
      </c>
      <c r="G47" s="326">
        <f>GETPIVOTDATA("APC",$A$15,"sost","Estatal","entidad","Zacatecas","Año",2022)-GETPIVOTDATA("APC",$A$15,"sost","Estatal","entidad","Zacatecas","Año",2021)</f>
        <v>0.29441624365482255</v>
      </c>
      <c r="H47" s="326">
        <f>GETPIVOTDATA("APC",$A$15,"sost","Estatal","entidad","Zacatecas","Año",2022)-GETPIVOTDATA("APC",$A$15,"sost","Estatal","entidad","Zacatecas","Año",2018)</f>
        <v>-0.30964467005076113</v>
      </c>
      <c r="I47" s="2"/>
      <c r="J47" s="2"/>
      <c r="K47" s="2"/>
    </row>
    <row r="48" spans="1:11">
      <c r="A48" s="49" t="s">
        <v>50</v>
      </c>
      <c r="B48" s="80">
        <v>11.578995854444956</v>
      </c>
      <c r="C48" s="80">
        <v>11.568631966835559</v>
      </c>
      <c r="D48" s="80">
        <v>11.941731920773837</v>
      </c>
      <c r="E48" s="80">
        <v>12.048595117457394</v>
      </c>
      <c r="F48" s="80">
        <v>11.821050207277752</v>
      </c>
      <c r="G48" s="328">
        <f>GETPIVOTDATA("APC",$A$15,"sost","Federal","Año",2022)-GETPIVOTDATA("APC",$A$15,"sost","Federal","Año",2021)</f>
        <v>-0.22754491017964185</v>
      </c>
      <c r="H48" s="328">
        <f>GETPIVOTDATA("APC",$A$15,"sost","Federal","Año",2022)-GETPIVOTDATA("APC",$A$15,"sost","Federal","Año",2018)</f>
        <v>0.24205435283279542</v>
      </c>
      <c r="I48" s="2"/>
      <c r="J48" s="2"/>
      <c r="K48" s="2"/>
    </row>
    <row r="49" spans="1:11">
      <c r="A49" s="51" t="s">
        <v>32</v>
      </c>
      <c r="B49" s="75">
        <v>11.919298245614035</v>
      </c>
      <c r="C49" s="75">
        <v>11.857219973009446</v>
      </c>
      <c r="D49" s="75">
        <v>12.279892037786775</v>
      </c>
      <c r="E49" s="75">
        <v>12.546018893387314</v>
      </c>
      <c r="F49" s="75">
        <v>12.085560053981107</v>
      </c>
      <c r="G49" s="326">
        <f>GETPIVOTDATA("APC",$A$15,"sost","Federal","entidad","Ciudad de México","Año",2022)-GETPIVOTDATA("APC",$A$15,"sost","Federal","entidad","Ciudad de México","Año",2021)</f>
        <v>-0.46045883940620769</v>
      </c>
      <c r="H49" s="326">
        <f>GETPIVOTDATA("APC",$A$15,"sost","Federal","entidad","Ciudad de México","Año",2022)-GETPIVOTDATA("APC",$A$15,"sost","Federal","entidad","Ciudad de México","Año",2018)</f>
        <v>0.1662618083670715</v>
      </c>
      <c r="I49" s="2"/>
      <c r="J49" s="2"/>
      <c r="K49" s="2"/>
    </row>
    <row r="50" spans="1:11">
      <c r="A50" s="51" t="s">
        <v>28</v>
      </c>
      <c r="B50" s="75">
        <v>9.599686028257457</v>
      </c>
      <c r="C50" s="75">
        <v>9.8901098901098905</v>
      </c>
      <c r="D50" s="75">
        <v>9.9748822605965461</v>
      </c>
      <c r="E50" s="75">
        <v>9.1554160125588702</v>
      </c>
      <c r="F50" s="75">
        <v>10.282574568288855</v>
      </c>
      <c r="G50" s="327">
        <f>GETPIVOTDATA("APC",$A$15,"sost","Federal","entidad","Oaxaca","Año",2022)-GETPIVOTDATA("APC",$A$15,"sost","Federal","entidad","Oaxaca","Año",2021)</f>
        <v>1.1271585557299844</v>
      </c>
      <c r="H50" s="327">
        <f>GETPIVOTDATA("APC",$A$15,"sost","Federal","entidad","Oaxaca","Año",2022)-GETPIVOTDATA("APC",$A$15,"sost","Federal","entidad","Oaxaca","Año",2018)</f>
        <v>0.68288854003139754</v>
      </c>
      <c r="I50" s="2"/>
      <c r="J50" s="2"/>
      <c r="K50" s="2"/>
    </row>
    <row r="51" spans="1:11" ht="15" hidden="1">
      <c r="A51" s="51" t="s">
        <v>39</v>
      </c>
      <c r="B51" s="50">
        <v>0</v>
      </c>
      <c r="C51" s="50">
        <v>0</v>
      </c>
      <c r="D51" s="50">
        <v>0</v>
      </c>
      <c r="E51" s="50">
        <v>0</v>
      </c>
      <c r="F51" s="50">
        <v>0</v>
      </c>
      <c r="G51"/>
    </row>
    <row r="52" spans="1:11" ht="15" hidden="1">
      <c r="A52" s="49" t="s">
        <v>124</v>
      </c>
      <c r="B52" s="50">
        <v>0</v>
      </c>
      <c r="C52" s="50">
        <v>0</v>
      </c>
      <c r="D52" s="50">
        <v>0</v>
      </c>
      <c r="E52" s="50">
        <v>0</v>
      </c>
      <c r="F52" s="50">
        <v>0</v>
      </c>
      <c r="G52"/>
    </row>
    <row r="53" spans="1:11" ht="15" hidden="1">
      <c r="A53" s="51" t="s">
        <v>40</v>
      </c>
      <c r="B53" s="50">
        <v>0</v>
      </c>
      <c r="C53" s="50">
        <v>0</v>
      </c>
      <c r="D53" s="50">
        <v>0</v>
      </c>
      <c r="E53" s="50">
        <v>0</v>
      </c>
      <c r="F53" s="50">
        <v>0</v>
      </c>
      <c r="G53"/>
    </row>
    <row r="54" spans="1:11" ht="15" hidden="1">
      <c r="A54" s="49" t="s">
        <v>37</v>
      </c>
      <c r="B54" s="50">
        <v>9.6625655189730395</v>
      </c>
      <c r="C54" s="50">
        <v>9.6070117071027283</v>
      </c>
      <c r="D54" s="50">
        <v>9.6365776340981135</v>
      </c>
      <c r="E54" s="50">
        <v>9.7208813282696713</v>
      </c>
      <c r="F54" s="50">
        <v>10.076676814914785</v>
      </c>
      <c r="G54"/>
    </row>
    <row r="55" spans="1:11" ht="8.1" customHeight="1"/>
    <row r="56" spans="1:11" ht="14.25" customHeight="1">
      <c r="A56" s="84" t="s">
        <v>267</v>
      </c>
      <c r="B56" s="85"/>
      <c r="C56" s="85"/>
      <c r="D56" s="85"/>
      <c r="E56" s="85"/>
      <c r="F56" s="85"/>
    </row>
  </sheetData>
  <mergeCells count="3">
    <mergeCell ref="B14:D14"/>
    <mergeCell ref="E14:F14"/>
    <mergeCell ref="A5:H5"/>
  </mergeCells>
  <printOptions horizontalCentered="1"/>
  <pageMargins left="0.70866141732283472" right="0.70866141732283472" top="0.74803149606299213" bottom="0.74803149606299213" header="0.31496062992125984" footer="0.31496062992125984"/>
  <pageSetup paperSize="9" scale="96" orientation="portrait" r:id="rId2"/>
  <drawing r:id="rId3"/>
  <tableParts count="1">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59"/>
  <sheetViews>
    <sheetView showGridLines="0" zoomScale="120" zoomScaleNormal="120" workbookViewId="0">
      <selection activeCell="B17" sqref="B17:D17"/>
    </sheetView>
  </sheetViews>
  <sheetFormatPr baseColWidth="10" defaultColWidth="11.42578125" defaultRowHeight="13.5"/>
  <cols>
    <col min="1" max="1" width="23.42578125" style="48" customWidth="1"/>
    <col min="2" max="9" width="8.7109375" style="48" customWidth="1"/>
    <col min="10" max="10" width="11.5703125" style="48" bestFit="1" customWidth="1"/>
    <col min="11" max="11" width="15.140625" style="48" bestFit="1" customWidth="1"/>
    <col min="12" max="12" width="11.5703125" style="48" bestFit="1" customWidth="1"/>
    <col min="13" max="13" width="15.140625" style="48" bestFit="1" customWidth="1"/>
    <col min="14" max="14" width="11.5703125" style="48" bestFit="1" customWidth="1"/>
    <col min="15" max="15" width="20.140625" style="48" bestFit="1" customWidth="1"/>
    <col min="16" max="16" width="16.5703125" style="48" bestFit="1" customWidth="1"/>
    <col min="17" max="16384" width="11.42578125" style="48"/>
  </cols>
  <sheetData>
    <row r="1" spans="1:9" s="3" customFormat="1" ht="15" customHeight="1">
      <c r="B1" s="1"/>
      <c r="C1" s="1"/>
      <c r="D1" s="1"/>
      <c r="E1" s="1"/>
      <c r="F1" s="1"/>
      <c r="G1" s="1"/>
      <c r="I1" s="64" t="s">
        <v>48</v>
      </c>
    </row>
    <row r="2" spans="1:9" s="3" customFormat="1" ht="15" customHeight="1">
      <c r="B2" s="1"/>
      <c r="C2" s="1"/>
      <c r="D2" s="1"/>
      <c r="E2" s="1"/>
      <c r="F2" s="1"/>
      <c r="G2" s="1"/>
      <c r="I2" s="6" t="s">
        <v>42</v>
      </c>
    </row>
    <row r="3" spans="1:9" s="3" customFormat="1" ht="15" customHeight="1">
      <c r="B3" s="1"/>
      <c r="C3" s="1"/>
      <c r="D3" s="1"/>
      <c r="E3" s="1"/>
      <c r="F3" s="1"/>
      <c r="G3" s="1"/>
      <c r="H3" s="63"/>
    </row>
    <row r="4" spans="1:9" s="3" customFormat="1" ht="9" customHeight="1">
      <c r="B4" s="1"/>
      <c r="C4" s="1"/>
      <c r="D4" s="1"/>
      <c r="E4" s="1"/>
      <c r="F4" s="1"/>
      <c r="G4" s="1"/>
      <c r="H4" s="63"/>
    </row>
    <row r="5" spans="1:9" s="3" customFormat="1" ht="15" customHeight="1">
      <c r="A5" s="367" t="s">
        <v>191</v>
      </c>
      <c r="B5" s="367"/>
      <c r="C5" s="367"/>
      <c r="D5" s="367"/>
      <c r="E5" s="367"/>
      <c r="F5" s="367"/>
      <c r="G5" s="367"/>
      <c r="H5" s="367"/>
      <c r="I5" s="367"/>
    </row>
    <row r="6" spans="1:9" s="3" customFormat="1" ht="8.1" customHeight="1">
      <c r="A6" s="122"/>
      <c r="B6" s="63"/>
      <c r="C6" s="65"/>
      <c r="D6" s="65"/>
      <c r="E6" s="66"/>
      <c r="F6" s="66"/>
      <c r="G6" s="66"/>
      <c r="H6" s="66"/>
    </row>
    <row r="7" spans="1:9" s="68" customFormat="1" ht="15" customHeight="1">
      <c r="A7" s="76" t="s">
        <v>45</v>
      </c>
      <c r="B7" s="76" t="s">
        <v>0</v>
      </c>
      <c r="C7" s="67"/>
      <c r="D7" s="67"/>
      <c r="E7" s="63"/>
      <c r="F7" s="63"/>
      <c r="G7" s="63"/>
      <c r="H7" s="63"/>
    </row>
    <row r="8" spans="1:9" s="68" customFormat="1" ht="15" customHeight="1">
      <c r="A8" s="77">
        <v>2013</v>
      </c>
      <c r="B8" s="108">
        <f>$B$57</f>
        <v>0</v>
      </c>
      <c r="C8" s="69"/>
      <c r="D8" s="67"/>
      <c r="E8" s="63"/>
      <c r="F8" s="63"/>
      <c r="G8" s="63"/>
      <c r="H8" s="63"/>
      <c r="I8" s="70"/>
    </row>
    <row r="9" spans="1:9" s="68" customFormat="1" ht="15" customHeight="1">
      <c r="A9" s="77">
        <v>2014</v>
      </c>
      <c r="B9" s="108">
        <f>$C$57</f>
        <v>0</v>
      </c>
      <c r="C9" s="67"/>
      <c r="D9" s="67"/>
      <c r="E9" s="63"/>
      <c r="F9" s="63"/>
      <c r="G9" s="63"/>
      <c r="H9" s="63"/>
      <c r="I9" s="70"/>
    </row>
    <row r="10" spans="1:9" s="68" customFormat="1" ht="15" customHeight="1">
      <c r="A10" s="77">
        <v>2015</v>
      </c>
      <c r="B10" s="108">
        <f>$D$57</f>
        <v>0</v>
      </c>
      <c r="C10" s="67"/>
      <c r="D10" s="67"/>
      <c r="E10" s="63"/>
      <c r="F10" s="63"/>
      <c r="G10" s="63"/>
      <c r="H10" s="63"/>
      <c r="I10" s="70"/>
    </row>
    <row r="11" spans="1:9" s="68" customFormat="1" ht="15" customHeight="1">
      <c r="A11" s="77">
        <v>2016</v>
      </c>
      <c r="B11" s="108">
        <f>$E$57</f>
        <v>0</v>
      </c>
      <c r="C11" s="67"/>
      <c r="D11" s="67"/>
      <c r="E11" s="63"/>
      <c r="F11" s="63"/>
      <c r="G11" s="63"/>
      <c r="H11" s="63"/>
      <c r="I11" s="70"/>
    </row>
    <row r="12" spans="1:9" s="68" customFormat="1" ht="15" customHeight="1">
      <c r="A12" s="77">
        <v>2017</v>
      </c>
      <c r="B12" s="108">
        <f>$F$57</f>
        <v>0</v>
      </c>
      <c r="C12" s="67"/>
      <c r="D12" s="67"/>
      <c r="E12" s="63"/>
      <c r="F12" s="63"/>
      <c r="G12" s="63"/>
      <c r="H12" s="63"/>
      <c r="I12" s="70"/>
    </row>
    <row r="13" spans="1:9" s="68" customFormat="1" ht="15" customHeight="1">
      <c r="A13" s="77">
        <v>2018</v>
      </c>
      <c r="B13" s="108">
        <f>$G$57</f>
        <v>0</v>
      </c>
      <c r="C13" s="67"/>
      <c r="D13" s="67"/>
      <c r="E13" s="63"/>
      <c r="F13" s="63"/>
      <c r="G13" s="63"/>
      <c r="H13" s="63"/>
      <c r="I13" s="70"/>
    </row>
    <row r="14" spans="1:9" s="68" customFormat="1" ht="15" customHeight="1">
      <c r="A14" s="77">
        <v>2019</v>
      </c>
      <c r="B14" s="108">
        <f>$H$57</f>
        <v>0</v>
      </c>
      <c r="C14" s="67"/>
      <c r="D14" s="67"/>
      <c r="E14" s="63"/>
      <c r="F14" s="63"/>
      <c r="G14" s="63"/>
      <c r="H14" s="63"/>
      <c r="I14" s="70"/>
    </row>
    <row r="15" spans="1:9" s="68" customFormat="1" ht="15" customHeight="1">
      <c r="A15" s="77">
        <v>2020</v>
      </c>
      <c r="B15" s="108">
        <f>$I$57</f>
        <v>0</v>
      </c>
      <c r="C15" s="67"/>
      <c r="D15" s="67"/>
      <c r="E15" s="63"/>
      <c r="F15" s="63"/>
      <c r="G15" s="63"/>
      <c r="H15" s="63"/>
      <c r="I15" s="70"/>
    </row>
    <row r="16" spans="1:9" s="68" customFormat="1" ht="15" customHeight="1">
      <c r="A16" s="79" t="s">
        <v>260</v>
      </c>
      <c r="B16" s="108">
        <f>B15-B14</f>
        <v>0</v>
      </c>
      <c r="C16" s="67"/>
      <c r="D16" s="67"/>
      <c r="E16" s="63"/>
      <c r="F16" s="63"/>
      <c r="G16" s="63"/>
      <c r="H16" s="63"/>
    </row>
    <row r="17" spans="1:14" s="3" customFormat="1" ht="12.75" customHeight="1">
      <c r="A17" s="71"/>
      <c r="B17" s="365"/>
      <c r="C17" s="365"/>
      <c r="D17" s="365"/>
      <c r="E17" s="366"/>
      <c r="F17" s="366"/>
      <c r="G17" s="366"/>
      <c r="H17" s="72"/>
    </row>
    <row r="18" spans="1:14" ht="15" hidden="1">
      <c r="A18" s="83" t="s">
        <v>182</v>
      </c>
      <c r="B18" s="47" t="s">
        <v>45</v>
      </c>
      <c r="I18"/>
      <c r="J18"/>
      <c r="K18" s="2"/>
      <c r="L18" s="2"/>
      <c r="M18" s="2"/>
      <c r="N18" s="2"/>
    </row>
    <row r="19" spans="1:14" ht="15">
      <c r="A19" s="47" t="s">
        <v>156</v>
      </c>
      <c r="B19" s="48">
        <v>2013</v>
      </c>
      <c r="C19" s="48">
        <v>2014</v>
      </c>
      <c r="D19" s="48">
        <v>2015</v>
      </c>
      <c r="E19" s="48">
        <v>2016</v>
      </c>
      <c r="F19" s="48">
        <v>2017</v>
      </c>
      <c r="G19" s="48">
        <v>2018</v>
      </c>
      <c r="H19" s="48">
        <v>2019</v>
      </c>
      <c r="I19"/>
      <c r="J19"/>
      <c r="K19" s="2"/>
      <c r="L19" s="2"/>
      <c r="M19" s="2"/>
      <c r="N19" s="2"/>
    </row>
    <row r="20" spans="1:14" ht="15">
      <c r="A20" s="49" t="s">
        <v>49</v>
      </c>
      <c r="B20" s="75">
        <v>0</v>
      </c>
      <c r="C20" s="75">
        <v>0</v>
      </c>
      <c r="D20" s="75">
        <v>0</v>
      </c>
      <c r="E20" s="75">
        <v>0</v>
      </c>
      <c r="F20" s="75">
        <v>0</v>
      </c>
      <c r="G20" s="75">
        <v>0</v>
      </c>
      <c r="H20" s="75">
        <v>0</v>
      </c>
      <c r="I20"/>
      <c r="J20"/>
      <c r="K20" s="2"/>
      <c r="L20" s="2"/>
      <c r="M20" s="2"/>
      <c r="N20" s="2"/>
    </row>
    <row r="21" spans="1:14" ht="15">
      <c r="A21" s="51" t="s">
        <v>1</v>
      </c>
      <c r="B21" s="75">
        <v>0</v>
      </c>
      <c r="C21" s="75">
        <v>0</v>
      </c>
      <c r="D21" s="75">
        <v>0</v>
      </c>
      <c r="E21" s="75">
        <v>0</v>
      </c>
      <c r="F21" s="75">
        <v>0</v>
      </c>
      <c r="G21" s="75">
        <v>0</v>
      </c>
      <c r="H21" s="75">
        <v>0</v>
      </c>
      <c r="I21"/>
      <c r="J21"/>
      <c r="K21" s="2"/>
      <c r="L21" s="2"/>
      <c r="M21" s="2"/>
      <c r="N21" s="2"/>
    </row>
    <row r="22" spans="1:14" ht="15">
      <c r="A22" s="51" t="s">
        <v>3</v>
      </c>
      <c r="B22" s="75">
        <v>0</v>
      </c>
      <c r="C22" s="75">
        <v>0</v>
      </c>
      <c r="D22" s="75">
        <v>0</v>
      </c>
      <c r="E22" s="75">
        <v>0</v>
      </c>
      <c r="F22" s="75">
        <v>0</v>
      </c>
      <c r="G22" s="75">
        <v>0</v>
      </c>
      <c r="H22" s="75">
        <v>0</v>
      </c>
      <c r="I22"/>
      <c r="J22"/>
      <c r="K22" s="2"/>
      <c r="L22" s="2"/>
      <c r="M22" s="2"/>
      <c r="N22" s="2"/>
    </row>
    <row r="23" spans="1:14" ht="15">
      <c r="A23" s="51" t="s">
        <v>4</v>
      </c>
      <c r="B23" s="75">
        <v>0</v>
      </c>
      <c r="C23" s="75">
        <v>0</v>
      </c>
      <c r="D23" s="75">
        <v>0</v>
      </c>
      <c r="E23" s="75">
        <v>0</v>
      </c>
      <c r="F23" s="75">
        <v>0</v>
      </c>
      <c r="G23" s="75">
        <v>0</v>
      </c>
      <c r="H23" s="75">
        <v>0</v>
      </c>
      <c r="I23"/>
      <c r="J23"/>
      <c r="K23" s="2"/>
      <c r="L23" s="2"/>
      <c r="M23" s="2"/>
      <c r="N23" s="2"/>
    </row>
    <row r="24" spans="1:14" ht="15">
      <c r="A24" s="51" t="s">
        <v>5</v>
      </c>
      <c r="B24" s="75">
        <v>0</v>
      </c>
      <c r="C24" s="75">
        <v>0</v>
      </c>
      <c r="D24" s="75">
        <v>0</v>
      </c>
      <c r="E24" s="75">
        <v>0</v>
      </c>
      <c r="F24" s="75">
        <v>0</v>
      </c>
      <c r="G24" s="75">
        <v>0</v>
      </c>
      <c r="H24" s="75">
        <v>0</v>
      </c>
      <c r="I24"/>
      <c r="J24"/>
      <c r="K24" s="2"/>
      <c r="L24" s="2"/>
      <c r="M24" s="2"/>
      <c r="N24" s="2"/>
    </row>
    <row r="25" spans="1:14" ht="15">
      <c r="A25" s="51" t="s">
        <v>6</v>
      </c>
      <c r="B25" s="75">
        <v>0</v>
      </c>
      <c r="C25" s="75">
        <v>0</v>
      </c>
      <c r="D25" s="75">
        <v>0</v>
      </c>
      <c r="E25" s="75">
        <v>0</v>
      </c>
      <c r="F25" s="75">
        <v>0</v>
      </c>
      <c r="G25" s="75">
        <v>0</v>
      </c>
      <c r="H25" s="75">
        <v>0</v>
      </c>
      <c r="I25"/>
      <c r="J25"/>
      <c r="K25" s="2"/>
      <c r="L25" s="2"/>
      <c r="M25" s="2"/>
      <c r="N25" s="2"/>
    </row>
    <row r="26" spans="1:14" ht="15">
      <c r="A26" s="51" t="s">
        <v>7</v>
      </c>
      <c r="B26" s="75">
        <v>0</v>
      </c>
      <c r="C26" s="75">
        <v>0</v>
      </c>
      <c r="D26" s="75">
        <v>0</v>
      </c>
      <c r="E26" s="75">
        <v>0</v>
      </c>
      <c r="F26" s="75">
        <v>0</v>
      </c>
      <c r="G26" s="75">
        <v>0</v>
      </c>
      <c r="H26" s="75">
        <v>0</v>
      </c>
      <c r="I26"/>
      <c r="J26"/>
      <c r="K26" s="2"/>
      <c r="L26" s="2"/>
      <c r="M26" s="2"/>
      <c r="N26" s="2"/>
    </row>
    <row r="27" spans="1:14" ht="15">
      <c r="A27" s="51" t="s">
        <v>31</v>
      </c>
      <c r="B27" s="75">
        <v>0</v>
      </c>
      <c r="C27" s="75">
        <v>0</v>
      </c>
      <c r="D27" s="75">
        <v>0</v>
      </c>
      <c r="E27" s="75">
        <v>0</v>
      </c>
      <c r="F27" s="75">
        <v>0</v>
      </c>
      <c r="G27" s="75">
        <v>0</v>
      </c>
      <c r="H27" s="75">
        <v>0</v>
      </c>
      <c r="I27"/>
      <c r="J27"/>
      <c r="K27" s="2"/>
      <c r="L27" s="2"/>
      <c r="M27" s="2"/>
      <c r="N27" s="2"/>
    </row>
    <row r="28" spans="1:14" ht="15">
      <c r="A28" s="51" t="s">
        <v>8</v>
      </c>
      <c r="B28" s="75">
        <v>0</v>
      </c>
      <c r="C28" s="75">
        <v>0</v>
      </c>
      <c r="D28" s="75">
        <v>0</v>
      </c>
      <c r="E28" s="75">
        <v>0</v>
      </c>
      <c r="F28" s="75">
        <v>0</v>
      </c>
      <c r="G28" s="75">
        <v>0</v>
      </c>
      <c r="H28" s="75">
        <v>0</v>
      </c>
      <c r="I28"/>
      <c r="J28"/>
      <c r="K28" s="2"/>
      <c r="L28" s="2"/>
      <c r="M28" s="2"/>
      <c r="N28" s="2"/>
    </row>
    <row r="29" spans="1:14" ht="15">
      <c r="A29" s="51" t="s">
        <v>9</v>
      </c>
      <c r="B29" s="75">
        <v>0</v>
      </c>
      <c r="C29" s="75">
        <v>0</v>
      </c>
      <c r="D29" s="75">
        <v>0</v>
      </c>
      <c r="E29" s="75">
        <v>0</v>
      </c>
      <c r="F29" s="75">
        <v>0</v>
      </c>
      <c r="G29" s="75">
        <v>0</v>
      </c>
      <c r="H29" s="75">
        <v>0</v>
      </c>
      <c r="I29"/>
      <c r="J29"/>
      <c r="K29" s="2"/>
      <c r="L29" s="2"/>
      <c r="M29" s="2"/>
      <c r="N29" s="2"/>
    </row>
    <row r="30" spans="1:14" ht="15">
      <c r="A30" s="51" t="s">
        <v>10</v>
      </c>
      <c r="B30" s="75">
        <v>0</v>
      </c>
      <c r="C30" s="75">
        <v>0</v>
      </c>
      <c r="D30" s="75">
        <v>0</v>
      </c>
      <c r="E30" s="75">
        <v>0</v>
      </c>
      <c r="F30" s="75">
        <v>0</v>
      </c>
      <c r="G30" s="75">
        <v>0</v>
      </c>
      <c r="H30" s="75">
        <v>0</v>
      </c>
      <c r="I30"/>
      <c r="J30"/>
      <c r="K30" s="2"/>
      <c r="L30" s="2"/>
      <c r="M30" s="2"/>
      <c r="N30" s="2"/>
    </row>
    <row r="31" spans="1:14" ht="15">
      <c r="A31" s="51" t="s">
        <v>11</v>
      </c>
      <c r="B31" s="75">
        <v>0</v>
      </c>
      <c r="C31" s="75">
        <v>0</v>
      </c>
      <c r="D31" s="75">
        <v>0</v>
      </c>
      <c r="E31" s="75">
        <v>0</v>
      </c>
      <c r="F31" s="75">
        <v>0</v>
      </c>
      <c r="G31" s="75">
        <v>0</v>
      </c>
      <c r="H31" s="75">
        <v>0</v>
      </c>
      <c r="I31"/>
      <c r="J31"/>
      <c r="K31" s="2"/>
      <c r="L31" s="2"/>
      <c r="M31" s="2"/>
      <c r="N31" s="2"/>
    </row>
    <row r="32" spans="1:14" ht="15">
      <c r="A32" s="51" t="s">
        <v>12</v>
      </c>
      <c r="B32" s="75">
        <v>0</v>
      </c>
      <c r="C32" s="75">
        <v>0</v>
      </c>
      <c r="D32" s="75">
        <v>0</v>
      </c>
      <c r="E32" s="75">
        <v>0</v>
      </c>
      <c r="F32" s="75">
        <v>0</v>
      </c>
      <c r="G32" s="75">
        <v>0</v>
      </c>
      <c r="H32" s="75">
        <v>0</v>
      </c>
      <c r="I32"/>
      <c r="J32"/>
      <c r="K32" s="2"/>
      <c r="L32" s="2"/>
      <c r="M32" s="2"/>
      <c r="N32" s="2"/>
    </row>
    <row r="33" spans="1:14" ht="15">
      <c r="A33" s="51" t="s">
        <v>13</v>
      </c>
      <c r="B33" s="75">
        <v>0</v>
      </c>
      <c r="C33" s="75">
        <v>0</v>
      </c>
      <c r="D33" s="75">
        <v>0</v>
      </c>
      <c r="E33" s="75">
        <v>0</v>
      </c>
      <c r="F33" s="75">
        <v>0</v>
      </c>
      <c r="G33" s="75">
        <v>0</v>
      </c>
      <c r="H33" s="75">
        <v>0</v>
      </c>
      <c r="I33"/>
      <c r="J33"/>
      <c r="K33" s="2"/>
      <c r="L33" s="2"/>
      <c r="M33" s="2"/>
      <c r="N33" s="2"/>
    </row>
    <row r="34" spans="1:14" ht="15">
      <c r="A34" s="51" t="s">
        <v>14</v>
      </c>
      <c r="B34" s="75">
        <v>0</v>
      </c>
      <c r="C34" s="75">
        <v>0</v>
      </c>
      <c r="D34" s="75">
        <v>0</v>
      </c>
      <c r="E34" s="75">
        <v>0</v>
      </c>
      <c r="F34" s="75">
        <v>0</v>
      </c>
      <c r="G34" s="75">
        <v>0</v>
      </c>
      <c r="H34" s="75">
        <v>0</v>
      </c>
      <c r="I34"/>
      <c r="J34"/>
      <c r="K34" s="2"/>
      <c r="L34" s="2"/>
      <c r="M34" s="2"/>
      <c r="N34" s="2"/>
    </row>
    <row r="35" spans="1:14" ht="15">
      <c r="A35" s="51" t="s">
        <v>30</v>
      </c>
      <c r="B35" s="75">
        <v>0</v>
      </c>
      <c r="C35" s="75">
        <v>0</v>
      </c>
      <c r="D35" s="75">
        <v>0</v>
      </c>
      <c r="E35" s="75">
        <v>0</v>
      </c>
      <c r="F35" s="75">
        <v>0</v>
      </c>
      <c r="G35" s="75">
        <v>0</v>
      </c>
      <c r="H35" s="75">
        <v>0</v>
      </c>
      <c r="I35"/>
      <c r="J35"/>
      <c r="K35" s="2"/>
      <c r="L35" s="2"/>
      <c r="M35" s="2"/>
      <c r="N35" s="2"/>
    </row>
    <row r="36" spans="1:14" ht="15">
      <c r="A36" s="51" t="s">
        <v>15</v>
      </c>
      <c r="B36" s="75">
        <v>0</v>
      </c>
      <c r="C36" s="75">
        <v>0</v>
      </c>
      <c r="D36" s="75">
        <v>0</v>
      </c>
      <c r="E36" s="75">
        <v>0</v>
      </c>
      <c r="F36" s="75">
        <v>0</v>
      </c>
      <c r="G36" s="75">
        <v>0</v>
      </c>
      <c r="H36" s="75">
        <v>0</v>
      </c>
      <c r="I36"/>
      <c r="J36"/>
      <c r="K36" s="2"/>
      <c r="L36" s="2"/>
      <c r="M36" s="2"/>
      <c r="N36" s="2"/>
    </row>
    <row r="37" spans="1:14" ht="15">
      <c r="A37" s="51" t="s">
        <v>16</v>
      </c>
      <c r="B37" s="75">
        <v>0</v>
      </c>
      <c r="C37" s="75">
        <v>0</v>
      </c>
      <c r="D37" s="75">
        <v>0</v>
      </c>
      <c r="E37" s="75">
        <v>0</v>
      </c>
      <c r="F37" s="75">
        <v>0</v>
      </c>
      <c r="G37" s="75">
        <v>0</v>
      </c>
      <c r="H37" s="75">
        <v>0</v>
      </c>
      <c r="I37"/>
      <c r="J37"/>
      <c r="K37" s="2"/>
      <c r="L37" s="2"/>
      <c r="M37" s="2"/>
      <c r="N37" s="2"/>
    </row>
    <row r="38" spans="1:14" ht="15">
      <c r="A38" s="51" t="s">
        <v>17</v>
      </c>
      <c r="B38" s="75">
        <v>0</v>
      </c>
      <c r="C38" s="75">
        <v>0</v>
      </c>
      <c r="D38" s="75">
        <v>0</v>
      </c>
      <c r="E38" s="75">
        <v>0</v>
      </c>
      <c r="F38" s="75">
        <v>0</v>
      </c>
      <c r="G38" s="75">
        <v>0</v>
      </c>
      <c r="H38" s="75">
        <v>0</v>
      </c>
      <c r="I38"/>
      <c r="J38"/>
      <c r="K38" s="2"/>
      <c r="L38" s="2"/>
      <c r="M38" s="2"/>
      <c r="N38" s="2"/>
    </row>
    <row r="39" spans="1:14" ht="15">
      <c r="A39" s="51" t="s">
        <v>18</v>
      </c>
      <c r="B39" s="75">
        <v>0</v>
      </c>
      <c r="C39" s="75">
        <v>0</v>
      </c>
      <c r="D39" s="75">
        <v>0</v>
      </c>
      <c r="E39" s="75">
        <v>0</v>
      </c>
      <c r="F39" s="75">
        <v>0</v>
      </c>
      <c r="G39" s="75">
        <v>0</v>
      </c>
      <c r="H39" s="75">
        <v>0</v>
      </c>
      <c r="I39"/>
      <c r="J39"/>
      <c r="K39" s="2"/>
      <c r="L39" s="2"/>
      <c r="M39" s="2"/>
      <c r="N39" s="2"/>
    </row>
    <row r="40" spans="1:14" ht="15">
      <c r="A40" s="51" t="s">
        <v>29</v>
      </c>
      <c r="B40" s="75">
        <v>0</v>
      </c>
      <c r="C40" s="75">
        <v>0</v>
      </c>
      <c r="D40" s="75">
        <v>0</v>
      </c>
      <c r="E40" s="75">
        <v>0</v>
      </c>
      <c r="F40" s="75">
        <v>0</v>
      </c>
      <c r="G40" s="75">
        <v>0</v>
      </c>
      <c r="H40" s="75">
        <v>0</v>
      </c>
      <c r="I40"/>
      <c r="J40"/>
      <c r="K40" s="2"/>
      <c r="L40" s="2"/>
      <c r="M40" s="2"/>
      <c r="N40" s="2"/>
    </row>
    <row r="41" spans="1:14" ht="15">
      <c r="A41" s="51" t="s">
        <v>19</v>
      </c>
      <c r="B41" s="75">
        <v>0</v>
      </c>
      <c r="C41" s="75">
        <v>0</v>
      </c>
      <c r="D41" s="75">
        <v>0</v>
      </c>
      <c r="E41" s="75">
        <v>0</v>
      </c>
      <c r="F41" s="75">
        <v>0</v>
      </c>
      <c r="G41" s="75">
        <v>0</v>
      </c>
      <c r="H41" s="75">
        <v>0</v>
      </c>
      <c r="I41"/>
      <c r="J41"/>
      <c r="K41" s="2"/>
      <c r="L41" s="2"/>
      <c r="M41" s="2"/>
      <c r="N41" s="2"/>
    </row>
    <row r="42" spans="1:14" ht="15">
      <c r="A42" s="51" t="s">
        <v>20</v>
      </c>
      <c r="B42" s="75">
        <v>0</v>
      </c>
      <c r="C42" s="75">
        <v>0</v>
      </c>
      <c r="D42" s="75">
        <v>0</v>
      </c>
      <c r="E42" s="75">
        <v>0</v>
      </c>
      <c r="F42" s="75">
        <v>0</v>
      </c>
      <c r="G42" s="75">
        <v>0</v>
      </c>
      <c r="H42" s="75">
        <v>0</v>
      </c>
      <c r="I42"/>
      <c r="J42"/>
      <c r="K42" s="2"/>
      <c r="L42" s="2"/>
      <c r="M42" s="2"/>
      <c r="N42" s="2"/>
    </row>
    <row r="43" spans="1:14" ht="15">
      <c r="A43" s="51" t="s">
        <v>21</v>
      </c>
      <c r="B43" s="75">
        <v>0</v>
      </c>
      <c r="C43" s="75">
        <v>0</v>
      </c>
      <c r="D43" s="75">
        <v>0</v>
      </c>
      <c r="E43" s="75">
        <v>0</v>
      </c>
      <c r="F43" s="75">
        <v>0</v>
      </c>
      <c r="G43" s="75">
        <v>0</v>
      </c>
      <c r="H43" s="75">
        <v>0</v>
      </c>
      <c r="I43"/>
      <c r="J43"/>
      <c r="K43" s="2"/>
      <c r="L43" s="2"/>
      <c r="M43" s="2"/>
      <c r="N43" s="2"/>
    </row>
    <row r="44" spans="1:14" ht="15">
      <c r="A44" s="51" t="s">
        <v>22</v>
      </c>
      <c r="B44" s="75">
        <v>0</v>
      </c>
      <c r="C44" s="75">
        <v>0</v>
      </c>
      <c r="D44" s="75">
        <v>0</v>
      </c>
      <c r="E44" s="75">
        <v>0</v>
      </c>
      <c r="F44" s="75">
        <v>0</v>
      </c>
      <c r="G44" s="75">
        <v>0</v>
      </c>
      <c r="H44" s="75">
        <v>0</v>
      </c>
      <c r="I44"/>
      <c r="J44"/>
      <c r="K44" s="2"/>
      <c r="L44" s="2"/>
      <c r="M44" s="2"/>
      <c r="N44" s="2"/>
    </row>
    <row r="45" spans="1:14" ht="15">
      <c r="A45" s="51" t="s">
        <v>23</v>
      </c>
      <c r="B45" s="75">
        <v>0</v>
      </c>
      <c r="C45" s="75">
        <v>0</v>
      </c>
      <c r="D45" s="75">
        <v>0</v>
      </c>
      <c r="E45" s="75">
        <v>0</v>
      </c>
      <c r="F45" s="75">
        <v>0</v>
      </c>
      <c r="G45" s="75">
        <v>0</v>
      </c>
      <c r="H45" s="75">
        <v>0</v>
      </c>
      <c r="I45"/>
      <c r="J45"/>
      <c r="K45" s="2"/>
      <c r="L45" s="2"/>
      <c r="M45" s="2"/>
      <c r="N45" s="2"/>
    </row>
    <row r="46" spans="1:14" ht="15">
      <c r="A46" s="51" t="s">
        <v>24</v>
      </c>
      <c r="B46" s="75">
        <v>0</v>
      </c>
      <c r="C46" s="75">
        <v>0</v>
      </c>
      <c r="D46" s="75">
        <v>0</v>
      </c>
      <c r="E46" s="75">
        <v>0</v>
      </c>
      <c r="F46" s="75">
        <v>0</v>
      </c>
      <c r="G46" s="75">
        <v>0</v>
      </c>
      <c r="H46" s="75">
        <v>0</v>
      </c>
      <c r="I46"/>
      <c r="J46"/>
      <c r="K46" s="2"/>
      <c r="L46" s="2"/>
      <c r="M46" s="2"/>
      <c r="N46" s="2"/>
    </row>
    <row r="47" spans="1:14" ht="15">
      <c r="A47" s="51" t="s">
        <v>25</v>
      </c>
      <c r="B47" s="75">
        <v>0</v>
      </c>
      <c r="C47" s="75">
        <v>0</v>
      </c>
      <c r="D47" s="75">
        <v>0</v>
      </c>
      <c r="E47" s="75">
        <v>0</v>
      </c>
      <c r="F47" s="75">
        <v>0</v>
      </c>
      <c r="G47" s="75">
        <v>0</v>
      </c>
      <c r="H47" s="75">
        <v>0</v>
      </c>
      <c r="I47"/>
      <c r="J47"/>
      <c r="K47" s="2"/>
      <c r="L47" s="2"/>
      <c r="M47" s="2"/>
      <c r="N47" s="2"/>
    </row>
    <row r="48" spans="1:14" ht="15">
      <c r="A48" s="51" t="s">
        <v>53</v>
      </c>
      <c r="B48" s="75">
        <v>0</v>
      </c>
      <c r="C48" s="75">
        <v>0</v>
      </c>
      <c r="D48" s="75">
        <v>0</v>
      </c>
      <c r="E48" s="75">
        <v>0</v>
      </c>
      <c r="F48" s="75">
        <v>0</v>
      </c>
      <c r="G48" s="75">
        <v>0</v>
      </c>
      <c r="H48" s="75">
        <v>0</v>
      </c>
      <c r="I48"/>
      <c r="J48"/>
      <c r="K48" s="2"/>
      <c r="L48" s="2"/>
      <c r="M48" s="2"/>
      <c r="N48" s="2"/>
    </row>
    <row r="49" spans="1:14" ht="15">
      <c r="A49" s="51" t="s">
        <v>26</v>
      </c>
      <c r="B49" s="75">
        <v>0</v>
      </c>
      <c r="C49" s="75">
        <v>0</v>
      </c>
      <c r="D49" s="75">
        <v>0</v>
      </c>
      <c r="E49" s="75">
        <v>0</v>
      </c>
      <c r="F49" s="75">
        <v>0</v>
      </c>
      <c r="G49" s="75">
        <v>0</v>
      </c>
      <c r="H49" s="75">
        <v>0</v>
      </c>
      <c r="I49"/>
      <c r="J49"/>
      <c r="K49" s="2"/>
      <c r="L49" s="2"/>
      <c r="M49" s="2"/>
      <c r="N49" s="2"/>
    </row>
    <row r="50" spans="1:14" ht="15">
      <c r="A50" s="51" t="s">
        <v>27</v>
      </c>
      <c r="B50" s="75">
        <v>0</v>
      </c>
      <c r="C50" s="75">
        <v>0</v>
      </c>
      <c r="D50" s="75">
        <v>0</v>
      </c>
      <c r="E50" s="75">
        <v>0</v>
      </c>
      <c r="F50" s="75">
        <v>0</v>
      </c>
      <c r="G50" s="75">
        <v>0</v>
      </c>
      <c r="H50" s="75">
        <v>0</v>
      </c>
      <c r="I50"/>
      <c r="J50"/>
      <c r="K50" s="2"/>
      <c r="L50" s="2"/>
      <c r="M50" s="2"/>
      <c r="N50" s="2"/>
    </row>
    <row r="51" spans="1:14" ht="15">
      <c r="A51" s="49" t="s">
        <v>50</v>
      </c>
      <c r="B51" s="80">
        <v>0</v>
      </c>
      <c r="C51" s="80">
        <v>0</v>
      </c>
      <c r="D51" s="80">
        <v>0</v>
      </c>
      <c r="E51" s="80">
        <v>0</v>
      </c>
      <c r="F51" s="80">
        <v>0</v>
      </c>
      <c r="G51" s="80">
        <v>0</v>
      </c>
      <c r="H51" s="80">
        <v>0</v>
      </c>
      <c r="I51"/>
      <c r="J51"/>
      <c r="K51" s="2"/>
      <c r="L51" s="2"/>
      <c r="M51" s="2"/>
      <c r="N51" s="2"/>
    </row>
    <row r="52" spans="1:14" ht="15">
      <c r="A52" s="51" t="s">
        <v>32</v>
      </c>
      <c r="B52" s="75">
        <v>0</v>
      </c>
      <c r="C52" s="75">
        <v>0</v>
      </c>
      <c r="D52" s="75">
        <v>0</v>
      </c>
      <c r="E52" s="75">
        <v>0</v>
      </c>
      <c r="F52" s="75">
        <v>0</v>
      </c>
      <c r="G52" s="75">
        <v>0</v>
      </c>
      <c r="H52" s="75">
        <v>0</v>
      </c>
      <c r="I52"/>
      <c r="J52"/>
      <c r="K52" s="2"/>
      <c r="L52" s="2"/>
      <c r="M52" s="2"/>
      <c r="N52" s="2"/>
    </row>
    <row r="53" spans="1:14" ht="15">
      <c r="A53" s="51" t="s">
        <v>28</v>
      </c>
      <c r="B53" s="75">
        <v>0</v>
      </c>
      <c r="C53" s="75">
        <v>0</v>
      </c>
      <c r="D53" s="75">
        <v>0</v>
      </c>
      <c r="E53" s="75">
        <v>0</v>
      </c>
      <c r="F53" s="75">
        <v>0</v>
      </c>
      <c r="G53" s="75">
        <v>0</v>
      </c>
      <c r="H53" s="75">
        <v>0</v>
      </c>
      <c r="I53"/>
      <c r="J53"/>
      <c r="K53" s="2"/>
      <c r="L53" s="2"/>
      <c r="M53" s="2"/>
      <c r="N53" s="2"/>
    </row>
    <row r="54" spans="1:14" ht="15" hidden="1">
      <c r="A54" s="51" t="s">
        <v>39</v>
      </c>
      <c r="B54" s="110">
        <v>0</v>
      </c>
      <c r="C54" s="110">
        <v>0</v>
      </c>
      <c r="D54" s="110">
        <v>0</v>
      </c>
      <c r="E54" s="110">
        <v>0</v>
      </c>
      <c r="F54" s="110">
        <v>0</v>
      </c>
      <c r="G54" s="110">
        <v>0</v>
      </c>
      <c r="H54" s="110">
        <v>0</v>
      </c>
      <c r="I54"/>
      <c r="J54"/>
    </row>
    <row r="55" spans="1:14" ht="15" hidden="1">
      <c r="A55" s="49" t="s">
        <v>124</v>
      </c>
      <c r="B55" s="110">
        <v>0</v>
      </c>
      <c r="C55" s="110">
        <v>0</v>
      </c>
      <c r="D55" s="110">
        <v>0</v>
      </c>
      <c r="E55" s="110">
        <v>0</v>
      </c>
      <c r="F55" s="110">
        <v>0</v>
      </c>
      <c r="G55" s="110">
        <v>0</v>
      </c>
      <c r="H55" s="110">
        <v>0</v>
      </c>
      <c r="I55"/>
      <c r="J55"/>
    </row>
    <row r="56" spans="1:14" ht="15" hidden="1">
      <c r="A56" s="51" t="s">
        <v>40</v>
      </c>
      <c r="B56" s="110">
        <v>0</v>
      </c>
      <c r="C56" s="110">
        <v>0</v>
      </c>
      <c r="D56" s="110">
        <v>0</v>
      </c>
      <c r="E56" s="110">
        <v>0</v>
      </c>
      <c r="F56" s="110">
        <v>0</v>
      </c>
      <c r="G56" s="110">
        <v>0</v>
      </c>
      <c r="H56" s="110">
        <v>0</v>
      </c>
      <c r="I56"/>
      <c r="J56"/>
    </row>
    <row r="57" spans="1:14" ht="15" hidden="1">
      <c r="A57" s="49" t="s">
        <v>37</v>
      </c>
      <c r="B57" s="110">
        <v>0</v>
      </c>
      <c r="C57" s="110">
        <v>0</v>
      </c>
      <c r="D57" s="110">
        <v>0</v>
      </c>
      <c r="E57" s="110">
        <v>0</v>
      </c>
      <c r="F57" s="110">
        <v>0</v>
      </c>
      <c r="G57" s="110">
        <v>0</v>
      </c>
      <c r="H57" s="110">
        <v>0</v>
      </c>
      <c r="I57"/>
      <c r="J57"/>
    </row>
    <row r="58" spans="1:14" ht="8.1" customHeight="1"/>
    <row r="59" spans="1:14" ht="13.5" customHeight="1">
      <c r="A59" s="84" t="s">
        <v>267</v>
      </c>
      <c r="B59" s="85"/>
      <c r="C59" s="85"/>
      <c r="D59" s="85"/>
      <c r="E59" s="85"/>
      <c r="F59" s="85"/>
      <c r="G59" s="85"/>
      <c r="H59" s="85"/>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57"/>
  <sheetViews>
    <sheetView showGridLines="0" view="pageBreakPreview" topLeftCell="A19" zoomScale="120" zoomScaleNormal="120" zoomScaleSheetLayoutView="120" workbookViewId="0">
      <selection activeCell="L39" sqref="L39"/>
    </sheetView>
  </sheetViews>
  <sheetFormatPr baseColWidth="10" defaultColWidth="11.42578125" defaultRowHeight="13.5"/>
  <cols>
    <col min="1" max="1" width="23.5703125" style="48" customWidth="1"/>
    <col min="2" max="10" width="8.5703125" style="48" customWidth="1"/>
    <col min="11" max="11" width="20.140625" style="48" bestFit="1" customWidth="1"/>
    <col min="12" max="12" width="16.5703125" style="48" bestFit="1" customWidth="1"/>
    <col min="13" max="16384" width="11.42578125" style="48"/>
  </cols>
  <sheetData>
    <row r="1" spans="1:10" s="3" customFormat="1" ht="15" customHeight="1">
      <c r="B1" s="1"/>
      <c r="C1" s="1"/>
      <c r="D1" s="1"/>
      <c r="E1" s="1"/>
      <c r="F1" s="1"/>
      <c r="J1" s="64" t="s">
        <v>48</v>
      </c>
    </row>
    <row r="2" spans="1:10" s="3" customFormat="1" ht="15" customHeight="1">
      <c r="B2" s="1"/>
      <c r="C2" s="1"/>
      <c r="D2" s="1"/>
      <c r="E2" s="1"/>
      <c r="F2" s="1"/>
      <c r="J2" s="6" t="s">
        <v>42</v>
      </c>
    </row>
    <row r="3" spans="1:10" s="3" customFormat="1" ht="15" customHeight="1">
      <c r="B3" s="1"/>
      <c r="C3" s="1"/>
      <c r="D3" s="1"/>
      <c r="E3" s="1"/>
      <c r="F3" s="1"/>
      <c r="G3" s="1"/>
    </row>
    <row r="4" spans="1:10" s="3" customFormat="1" ht="12.75" customHeight="1">
      <c r="B4" s="1"/>
      <c r="C4" s="1"/>
      <c r="D4" s="1"/>
      <c r="E4" s="1"/>
      <c r="F4" s="1"/>
      <c r="G4" s="1"/>
    </row>
    <row r="5" spans="1:10" s="3" customFormat="1" ht="15" customHeight="1">
      <c r="A5" s="367" t="s">
        <v>215</v>
      </c>
      <c r="B5" s="367"/>
      <c r="C5" s="367"/>
      <c r="D5" s="367"/>
      <c r="E5" s="367"/>
      <c r="F5" s="367"/>
      <c r="G5" s="367"/>
      <c r="H5" s="367"/>
      <c r="I5" s="367"/>
      <c r="J5" s="367"/>
    </row>
    <row r="6" spans="1:10" s="3" customFormat="1" ht="6.75" customHeight="1">
      <c r="A6" s="122"/>
      <c r="B6" s="63"/>
      <c r="C6" s="65"/>
      <c r="D6" s="65"/>
      <c r="E6" s="66"/>
      <c r="F6" s="66"/>
      <c r="G6" s="66"/>
    </row>
    <row r="7" spans="1:10" s="68" customFormat="1" ht="14.1" customHeight="1">
      <c r="A7" s="76" t="s">
        <v>45</v>
      </c>
      <c r="B7" s="76" t="s">
        <v>0</v>
      </c>
      <c r="C7" s="67"/>
      <c r="D7" s="67"/>
      <c r="E7" s="63"/>
      <c r="F7" s="63"/>
      <c r="G7" s="63"/>
    </row>
    <row r="8" spans="1:10" s="68" customFormat="1" ht="14.1" customHeight="1">
      <c r="A8" s="77">
        <v>2018</v>
      </c>
      <c r="B8" s="92">
        <f>$B$54</f>
        <v>164018</v>
      </c>
      <c r="C8" s="69"/>
      <c r="D8" s="67"/>
      <c r="E8" s="63"/>
      <c r="F8" s="63"/>
      <c r="G8" s="63"/>
    </row>
    <row r="9" spans="1:10" s="68" customFormat="1" ht="14.1" customHeight="1">
      <c r="A9" s="77">
        <v>2019</v>
      </c>
      <c r="B9" s="92">
        <f>$C$54</f>
        <v>149444</v>
      </c>
      <c r="C9" s="67"/>
      <c r="D9" s="67"/>
      <c r="E9" s="63"/>
      <c r="F9" s="63"/>
      <c r="G9" s="63"/>
    </row>
    <row r="10" spans="1:10" s="68" customFormat="1" ht="14.1" customHeight="1">
      <c r="A10" s="77">
        <v>2020</v>
      </c>
      <c r="B10" s="92">
        <f>$D$54</f>
        <v>84543</v>
      </c>
      <c r="C10" s="67"/>
      <c r="D10" s="67"/>
      <c r="E10" s="63"/>
      <c r="F10" s="63"/>
      <c r="G10" s="63"/>
    </row>
    <row r="11" spans="1:10" s="68" customFormat="1" ht="14.1" customHeight="1">
      <c r="A11" s="77">
        <v>2021</v>
      </c>
      <c r="B11" s="92">
        <f>$E$54</f>
        <v>119725</v>
      </c>
      <c r="C11" s="67"/>
      <c r="D11" s="67"/>
      <c r="E11" s="63"/>
      <c r="F11" s="63"/>
      <c r="G11" s="63"/>
      <c r="I11" s="287"/>
    </row>
    <row r="12" spans="1:10" s="68" customFormat="1" ht="14.1" customHeight="1">
      <c r="A12" s="77">
        <v>2022</v>
      </c>
      <c r="B12" s="92">
        <f>$F$54</f>
        <v>148628</v>
      </c>
      <c r="C12" s="67"/>
      <c r="D12" s="67"/>
      <c r="E12" s="63"/>
      <c r="F12" s="63"/>
      <c r="G12" s="63"/>
    </row>
    <row r="13" spans="1:10" s="68" customFormat="1" ht="14.1" customHeight="1">
      <c r="A13" s="79" t="s">
        <v>314</v>
      </c>
      <c r="B13" s="92">
        <f>B12-B11</f>
        <v>28903</v>
      </c>
      <c r="C13" s="67"/>
      <c r="D13" s="67"/>
      <c r="E13" s="63"/>
      <c r="F13" s="63"/>
      <c r="G13" s="63"/>
    </row>
    <row r="14" spans="1:10" s="3" customFormat="1" ht="18.75">
      <c r="A14" s="71"/>
      <c r="B14" s="365"/>
      <c r="C14" s="365"/>
      <c r="D14" s="365"/>
      <c r="E14" s="366"/>
      <c r="F14" s="366"/>
      <c r="G14" s="366"/>
    </row>
    <row r="15" spans="1:10" hidden="1">
      <c r="A15" s="83" t="s">
        <v>187</v>
      </c>
      <c r="B15" s="47" t="s">
        <v>45</v>
      </c>
      <c r="G15" s="311"/>
      <c r="H15" s="311"/>
      <c r="I15" s="311"/>
      <c r="J15" s="311"/>
    </row>
    <row r="16" spans="1:10" ht="27">
      <c r="A16" s="47" t="s">
        <v>156</v>
      </c>
      <c r="B16" s="48">
        <v>2018</v>
      </c>
      <c r="C16" s="48">
        <v>2019</v>
      </c>
      <c r="D16" s="48">
        <v>2020</v>
      </c>
      <c r="E16" s="48">
        <v>2021</v>
      </c>
      <c r="F16" s="217" t="s">
        <v>328</v>
      </c>
      <c r="G16" s="313" t="s">
        <v>333</v>
      </c>
      <c r="H16" s="313" t="s">
        <v>334</v>
      </c>
      <c r="I16" s="313" t="s">
        <v>333</v>
      </c>
      <c r="J16" s="313" t="s">
        <v>335</v>
      </c>
    </row>
    <row r="17" spans="1:10">
      <c r="A17" s="49" t="s">
        <v>49</v>
      </c>
      <c r="B17" s="50">
        <v>150857</v>
      </c>
      <c r="C17" s="50">
        <v>136278</v>
      </c>
      <c r="D17" s="50">
        <v>81160</v>
      </c>
      <c r="E17" s="50">
        <v>114678</v>
      </c>
      <c r="F17" s="50">
        <v>138832</v>
      </c>
      <c r="G17" s="332">
        <f>((GETPIVOTDATA("capacitados",$A$15,"sost","Estatal","Año",2022)/GETPIVOTDATA("capacitados",$A$15,"sost","Estatal","Año",2021))-1)*100</f>
        <v>21.06245312963253</v>
      </c>
      <c r="H17" s="320">
        <f>GETPIVOTDATA("capacitados",$A$15,"sost","Estatal","Año",2022)-GETPIVOTDATA("capacitados",$A$15,"sost","Estatal","Año",2021)</f>
        <v>24154</v>
      </c>
      <c r="I17" s="332">
        <f>((GETPIVOTDATA("capacitados",$A$15,"sost","Estatal","Año",2022)/GETPIVOTDATA("capacitados",$A$15,"sost","Estatal","Año",2018))-1)*100</f>
        <v>-7.971124972656229</v>
      </c>
      <c r="J17" s="320">
        <f>GETPIVOTDATA("capacitados",$A$15,"sost","Estatal","Año",2022)-GETPIVOTDATA("capacitados",$A$15,"sost","Estatal","Año",2018)</f>
        <v>-12025</v>
      </c>
    </row>
    <row r="18" spans="1:10">
      <c r="A18" s="51" t="s">
        <v>1</v>
      </c>
      <c r="B18" s="50">
        <v>3514</v>
      </c>
      <c r="C18" s="50">
        <v>2286</v>
      </c>
      <c r="D18" s="50">
        <v>1007</v>
      </c>
      <c r="E18" s="50">
        <v>1136</v>
      </c>
      <c r="F18" s="50">
        <v>2800</v>
      </c>
      <c r="G18" s="306">
        <f>((GETPIVOTDATA("capacitados",$A$15,"sost","Estatal","entidad","Aguascalientes","Año",2022)/GETPIVOTDATA("capacitados",$A$15,"sost","Estatal","entidad","Aguascalientes","Año",2021))-1)*100</f>
        <v>146.47887323943661</v>
      </c>
      <c r="H18" s="321">
        <f>GETPIVOTDATA("capacitados",$A$15,"sost","Estatal","entidad","Aguascalientes","Año",2022)-GETPIVOTDATA("capacitados",$A$15,"sost","Estatal","entidad","Aguascalientes","Año",2021)</f>
        <v>1664</v>
      </c>
      <c r="I18" s="306">
        <f>((GETPIVOTDATA("capacitados",$A$15,"sost","Estatal","entidad","Aguascalientes","Año",2022)/GETPIVOTDATA("capacitados",$A$15,"sost","Estatal","entidad","Aguascalientes","Año",2018))-1)*100</f>
        <v>-20.318725099601597</v>
      </c>
      <c r="J18" s="321">
        <f>GETPIVOTDATA("capacitados",$A$15,"sost","Estatal","entidad","Aguascalientes","Año",2022)-GETPIVOTDATA("capacitados",$A$15,"sost","Estatal","entidad","Aguascalientes","Año",2018)</f>
        <v>-714</v>
      </c>
    </row>
    <row r="19" spans="1:10">
      <c r="A19" s="51" t="s">
        <v>3</v>
      </c>
      <c r="B19" s="50">
        <v>5453</v>
      </c>
      <c r="C19" s="50">
        <v>4935</v>
      </c>
      <c r="D19" s="50">
        <v>7335</v>
      </c>
      <c r="E19" s="50">
        <v>6040</v>
      </c>
      <c r="F19" s="50">
        <v>4491</v>
      </c>
      <c r="G19" s="307">
        <f>((GETPIVOTDATA("capacitados",$A$15,"sost","Estatal","entidad","Baja California","Año",2022)/GETPIVOTDATA("capacitados",$A$15,"sost","Estatal","entidad","Baja California","Año",2021))-1)*100</f>
        <v>-25.645695364238406</v>
      </c>
      <c r="H19" s="322">
        <f>GETPIVOTDATA("capacitados",$A$15,"sost","Estatal","entidad","Baja California","Año",2022)-GETPIVOTDATA("capacitados",$A$15,"sost","Estatal","entidad","Baja California","Año",2021)</f>
        <v>-1549</v>
      </c>
      <c r="I19" s="307">
        <f>((GETPIVOTDATA("capacitados",$A$15,"sost","Estatal","entidad","Baja California","Año",2022)/GETPIVOTDATA("capacitados",$A$15,"sost","Estatal","entidad","Baja California","Año",2018))-1)*100</f>
        <v>-17.641665138455899</v>
      </c>
      <c r="J19" s="322">
        <f>GETPIVOTDATA("capacitados",$A$15,"sost","Estatal","entidad","Baja California","Año",2022)-GETPIVOTDATA("capacitados",$A$15,"sost","Estatal","entidad","Baja California","Año",2018)</f>
        <v>-962</v>
      </c>
    </row>
    <row r="20" spans="1:10">
      <c r="A20" s="51" t="s">
        <v>4</v>
      </c>
      <c r="B20" s="50">
        <v>892</v>
      </c>
      <c r="C20" s="50">
        <v>427</v>
      </c>
      <c r="D20" s="50">
        <v>150</v>
      </c>
      <c r="E20" s="50">
        <v>418</v>
      </c>
      <c r="F20" s="50">
        <v>640</v>
      </c>
      <c r="G20" s="306">
        <f>((GETPIVOTDATA("capacitados",$A$15,"sost","Estatal","entidad","Baja California Sur","Año",2022)/GETPIVOTDATA("capacitados",$A$15,"sost","Estatal","entidad","Baja California Sur","Año",2021))-1)*100</f>
        <v>53.110047846889955</v>
      </c>
      <c r="H20" s="321">
        <f>GETPIVOTDATA("capacitados",$A$15,"sost","Estatal","entidad","Baja California Sur","Año",2022)-GETPIVOTDATA("capacitados",$A$15,"sost","Estatal","entidad","Baja California Sur","Año",2021)</f>
        <v>222</v>
      </c>
      <c r="I20" s="306">
        <f>((GETPIVOTDATA("capacitados",$A$15,"sost","Estatal","entidad","Baja California Sur","Año",2022)/GETPIVOTDATA("capacitados",$A$15,"sost","Estatal","entidad","Baja California Sur","Año",2018))-1)*100</f>
        <v>-28.251121076233186</v>
      </c>
      <c r="J20" s="321">
        <f>GETPIVOTDATA("capacitados",$A$15,"sost","Estatal","entidad","Baja California Sur","Año",2022)-GETPIVOTDATA("capacitados",$A$15,"sost","Estatal","entidad","Baja California Sur","Año",2018)</f>
        <v>-252</v>
      </c>
    </row>
    <row r="21" spans="1:10">
      <c r="A21" s="51" t="s">
        <v>5</v>
      </c>
      <c r="B21" s="50">
        <v>4126</v>
      </c>
      <c r="C21" s="50">
        <v>1651</v>
      </c>
      <c r="D21" s="50">
        <v>888</v>
      </c>
      <c r="E21" s="50">
        <v>2251</v>
      </c>
      <c r="F21" s="50">
        <v>1533</v>
      </c>
      <c r="G21" s="307">
        <f>((GETPIVOTDATA("capacitados",$A$15,"sost","Estatal","entidad","Campeche","Año",2022)/GETPIVOTDATA("capacitados",$A$15,"sost","Estatal","entidad","Campeche","Año",2021))-1)*100</f>
        <v>-31.896934695690803</v>
      </c>
      <c r="H21" s="322">
        <f>GETPIVOTDATA("capacitados",$A$15,"sost","Estatal","entidad","Campeche","Año",2022)-GETPIVOTDATA("capacitados",$A$15,"sost","Estatal","entidad","Campeche","Año",2021)</f>
        <v>-718</v>
      </c>
      <c r="I21" s="307">
        <f>((GETPIVOTDATA("capacitados",$A$15,"sost","Estatal","entidad","Campeche","Año",2022)/GETPIVOTDATA("capacitados",$A$15,"sost","Estatal","entidad","Campeche","Año",2018))-1)*100</f>
        <v>-62.845370819195345</v>
      </c>
      <c r="J21" s="322">
        <f>GETPIVOTDATA("capacitados",$A$15,"sost","Estatal","entidad","Campeche","Año",2022)-GETPIVOTDATA("capacitados",$A$15,"sost","Estatal","entidad","Campeche","Año",2018)</f>
        <v>-2593</v>
      </c>
    </row>
    <row r="22" spans="1:10">
      <c r="A22" s="51" t="s">
        <v>6</v>
      </c>
      <c r="B22" s="50">
        <v>2459</v>
      </c>
      <c r="C22" s="50">
        <v>4373</v>
      </c>
      <c r="D22" s="50">
        <v>2376</v>
      </c>
      <c r="E22" s="50">
        <v>3583</v>
      </c>
      <c r="F22" s="50">
        <v>3479</v>
      </c>
      <c r="G22" s="306">
        <f>((GETPIVOTDATA("capacitados",$A$15,"sost","Estatal","entidad","Chiapas","Año",2022)/GETPIVOTDATA("capacitados",$A$15,"sost","Estatal","entidad","Chiapas","Año",2021))-1)*100</f>
        <v>-2.9025955902874712</v>
      </c>
      <c r="H22" s="321">
        <f>GETPIVOTDATA("capacitados",$A$15,"sost","Estatal","entidad","Chiapas","Año",2022)-GETPIVOTDATA("capacitados",$A$15,"sost","Estatal","entidad","Chiapas","Año",2021)</f>
        <v>-104</v>
      </c>
      <c r="I22" s="306">
        <f>((GETPIVOTDATA("capacitados",$A$15,"sost","Estatal","entidad","Chiapas","Año",2022)/GETPIVOTDATA("capacitados",$A$15,"sost","Estatal","entidad","Chiapas","Año",2018))-1)*100</f>
        <v>41.480276535176898</v>
      </c>
      <c r="J22" s="321">
        <f>GETPIVOTDATA("capacitados",$A$15,"sost","Estatal","entidad","Chiapas","Año",2022)-GETPIVOTDATA("capacitados",$A$15,"sost","Estatal","entidad","Chiapas","Año",2018)</f>
        <v>1020</v>
      </c>
    </row>
    <row r="23" spans="1:10">
      <c r="A23" s="51" t="s">
        <v>7</v>
      </c>
      <c r="B23" s="50">
        <v>7969</v>
      </c>
      <c r="C23" s="50">
        <v>7114</v>
      </c>
      <c r="D23" s="50">
        <v>1637</v>
      </c>
      <c r="E23" s="50">
        <v>2181</v>
      </c>
      <c r="F23" s="50">
        <v>4037</v>
      </c>
      <c r="G23" s="307">
        <f>((GETPIVOTDATA("capacitados",$A$15,"sost","Estatal","entidad","Chihuahua","Año",2022)/GETPIVOTDATA("capacitados",$A$15,"sost","Estatal","entidad","Chihuahua","Año",2021))-1)*100</f>
        <v>85.098578633654284</v>
      </c>
      <c r="H23" s="322">
        <f>GETPIVOTDATA("capacitados",$A$15,"sost","Estatal","entidad","Chihuahua","Año",2022)-GETPIVOTDATA("capacitados",$A$15,"sost","Estatal","entidad","Chihuahua","Año",2021)</f>
        <v>1856</v>
      </c>
      <c r="I23" s="307">
        <f>((GETPIVOTDATA("capacitados",$A$15,"sost","Estatal","entidad","Chihuahua","Año",2022)/GETPIVOTDATA("capacitados",$A$15,"sost","Estatal","entidad","Chihuahua","Año",2018))-1)*100</f>
        <v>-49.341197138913287</v>
      </c>
      <c r="J23" s="322">
        <f>GETPIVOTDATA("capacitados",$A$15,"sost","Estatal","entidad","Chihuahua","Año",2022)-GETPIVOTDATA("capacitados",$A$15,"sost","Estatal","entidad","Chihuahua","Año",2018)</f>
        <v>-3932</v>
      </c>
    </row>
    <row r="24" spans="1:10">
      <c r="A24" s="51" t="s">
        <v>31</v>
      </c>
      <c r="B24" s="50">
        <v>3892</v>
      </c>
      <c r="C24" s="50">
        <v>3782</v>
      </c>
      <c r="D24" s="50">
        <v>758</v>
      </c>
      <c r="E24" s="50">
        <v>700</v>
      </c>
      <c r="F24" s="50">
        <v>2960</v>
      </c>
      <c r="G24" s="306">
        <f>((GETPIVOTDATA("capacitados",$A$15,"sost","Estatal","entidad","Coahuila de Zaragoza","Año",2022)/GETPIVOTDATA("capacitados",$A$15,"sost","Estatal","entidad","Coahuila de Zaragoza","Año",2021))-1)*100</f>
        <v>322.85714285714289</v>
      </c>
      <c r="H24" s="321">
        <f>GETPIVOTDATA("capacitados",$A$15,"sost","Estatal","entidad","Coahuila de Zaragoza","Año",2022)-GETPIVOTDATA("capacitados",$A$15,"sost","Estatal","entidad","Coahuila de Zaragoza","Año",2021)</f>
        <v>2260</v>
      </c>
      <c r="I24" s="306">
        <f>((GETPIVOTDATA("capacitados",$A$15,"sost","Estatal","entidad","Coahuila de Zaragoza","Año",2022)/GETPIVOTDATA("capacitados",$A$15,"sost","Estatal","entidad","Coahuila de Zaragoza","Año",2018))-1)*100</f>
        <v>-23.946557040082219</v>
      </c>
      <c r="J24" s="321">
        <f>GETPIVOTDATA("capacitados",$A$15,"sost","Estatal","entidad","Coahuila de Zaragoza","Año",2022)-GETPIVOTDATA("capacitados",$A$15,"sost","Estatal","entidad","Coahuila de Zaragoza","Año",2018)</f>
        <v>-932</v>
      </c>
    </row>
    <row r="25" spans="1:10">
      <c r="A25" s="51" t="s">
        <v>8</v>
      </c>
      <c r="B25" s="50">
        <v>1128</v>
      </c>
      <c r="C25" s="50">
        <v>1068</v>
      </c>
      <c r="D25" s="50">
        <v>211</v>
      </c>
      <c r="E25" s="50">
        <v>363</v>
      </c>
      <c r="F25" s="50">
        <v>968</v>
      </c>
      <c r="G25" s="307">
        <f>((GETPIVOTDATA("capacitados",$A$15,"sost","Estatal","entidad","Colima","Año",2022)/GETPIVOTDATA("capacitados",$A$15,"sost","Estatal","entidad","Colima","Año",2021))-1)*100</f>
        <v>166.66666666666666</v>
      </c>
      <c r="H25" s="322">
        <f>GETPIVOTDATA("capacitados",$A$15,"sost","Estatal","entidad","Colima","Año",2022)-GETPIVOTDATA("capacitados",$A$15,"sost","Estatal","entidad","Colima","Año",2021)</f>
        <v>605</v>
      </c>
      <c r="I25" s="307">
        <f>((GETPIVOTDATA("capacitados",$A$15,"sost","Estatal","entidad","Colima","Año",2022)/GETPIVOTDATA("capacitados",$A$15,"sost","Estatal","entidad","Colima","Año",2018))-1)*100</f>
        <v>-14.184397163120565</v>
      </c>
      <c r="J25" s="322">
        <f>GETPIVOTDATA("capacitados",$A$15,"sost","Estatal","entidad","Colima","Año",2022)-GETPIVOTDATA("capacitados",$A$15,"sost","Estatal","entidad","Colima","Año",2018)</f>
        <v>-160</v>
      </c>
    </row>
    <row r="26" spans="1:10">
      <c r="A26" s="51" t="s">
        <v>9</v>
      </c>
      <c r="B26" s="50">
        <v>3123</v>
      </c>
      <c r="C26" s="50">
        <v>3862</v>
      </c>
      <c r="D26" s="50">
        <v>953</v>
      </c>
      <c r="E26" s="50">
        <v>1904</v>
      </c>
      <c r="F26" s="50">
        <v>1912</v>
      </c>
      <c r="G26" s="306">
        <f>((GETPIVOTDATA("capacitados",$A$15,"sost","Estatal","entidad","Durango","Año",2022)/GETPIVOTDATA("capacitados",$A$15,"sost","Estatal","entidad","Durango","Año",2021))-1)*100</f>
        <v>0.42016806722688926</v>
      </c>
      <c r="H26" s="321">
        <f>GETPIVOTDATA("capacitados",$A$15,"sost","Estatal","entidad","Durango","Año",2022)-GETPIVOTDATA("capacitados",$A$15,"sost","Estatal","entidad","Durango","Año",2021)</f>
        <v>8</v>
      </c>
      <c r="I26" s="306">
        <f>((GETPIVOTDATA("capacitados",$A$15,"sost","Estatal","entidad","Durango","Año",2022)/GETPIVOTDATA("capacitados",$A$15,"sost","Estatal","entidad","Durango","Año",2018))-1)*100</f>
        <v>-38.776817162984315</v>
      </c>
      <c r="J26" s="321">
        <f>GETPIVOTDATA("capacitados",$A$15,"sost","Estatal","entidad","Durango","Año",2022)-GETPIVOTDATA("capacitados",$A$15,"sost","Estatal","entidad","Durango","Año",2018)</f>
        <v>-1211</v>
      </c>
    </row>
    <row r="27" spans="1:10">
      <c r="A27" s="51" t="s">
        <v>10</v>
      </c>
      <c r="B27" s="50">
        <v>8126</v>
      </c>
      <c r="C27" s="50">
        <v>2782</v>
      </c>
      <c r="D27" s="50">
        <v>3416</v>
      </c>
      <c r="E27" s="50">
        <v>1214</v>
      </c>
      <c r="F27" s="50">
        <v>2223</v>
      </c>
      <c r="G27" s="307">
        <f>((GETPIVOTDATA("capacitados",$A$15,"sost","Estatal","entidad","Guanajuato","Año",2022)/GETPIVOTDATA("capacitados",$A$15,"sost","Estatal","entidad","Guanajuato","Año",2021))-1)*100</f>
        <v>83.113673805601309</v>
      </c>
      <c r="H27" s="322">
        <f>GETPIVOTDATA("capacitados",$A$15,"sost","Estatal","entidad","Guanajuato","Año",2022)-GETPIVOTDATA("capacitados",$A$15,"sost","Estatal","entidad","Guanajuato","Año",2021)</f>
        <v>1009</v>
      </c>
      <c r="I27" s="307">
        <f>((GETPIVOTDATA("capacitados",$A$15,"sost","Estatal","entidad","Guanajuato","Año",2022)/GETPIVOTDATA("capacitados",$A$15,"sost","Estatal","entidad","Guanajuato","Año",2018))-1)*100</f>
        <v>-72.643366970219049</v>
      </c>
      <c r="J27" s="322">
        <f>GETPIVOTDATA("capacitados",$A$15,"sost","Estatal","entidad","Guanajuato","Año",2022)-GETPIVOTDATA("capacitados",$A$15,"sost","Estatal","entidad","Guanajuato","Año",2018)</f>
        <v>-5903</v>
      </c>
    </row>
    <row r="28" spans="1:10">
      <c r="A28" s="51" t="s">
        <v>11</v>
      </c>
      <c r="B28" s="50">
        <v>7440</v>
      </c>
      <c r="C28" s="50">
        <v>14643</v>
      </c>
      <c r="D28" s="50">
        <v>10990</v>
      </c>
      <c r="E28" s="50">
        <v>11625</v>
      </c>
      <c r="F28" s="50">
        <v>15428</v>
      </c>
      <c r="G28" s="306">
        <f>((GETPIVOTDATA("capacitados",$A$15,"sost","Estatal","entidad","Guerrero","Año",2022)/GETPIVOTDATA("capacitados",$A$15,"sost","Estatal","entidad","Guerrero","Año",2021))-1)*100</f>
        <v>32.713978494623653</v>
      </c>
      <c r="H28" s="321">
        <f>GETPIVOTDATA("capacitados",$A$15,"sost","Estatal","entidad","Guerrero","Año",2022)-GETPIVOTDATA("capacitados",$A$15,"sost","Estatal","entidad","Guerrero","Año",2021)</f>
        <v>3803</v>
      </c>
      <c r="I28" s="306">
        <f>((GETPIVOTDATA("capacitados",$A$15,"sost","Estatal","entidad","Guerrero","Año",2022)/GETPIVOTDATA("capacitados",$A$15,"sost","Estatal","entidad","Guerrero","Año",2018))-1)*100</f>
        <v>107.36559139784947</v>
      </c>
      <c r="J28" s="321">
        <f>GETPIVOTDATA("capacitados",$A$15,"sost","Estatal","entidad","Guerrero","Año",2022)-GETPIVOTDATA("capacitados",$A$15,"sost","Estatal","entidad","Guerrero","Año",2018)</f>
        <v>7988</v>
      </c>
    </row>
    <row r="29" spans="1:10">
      <c r="A29" s="51" t="s">
        <v>12</v>
      </c>
      <c r="B29" s="50">
        <v>1323</v>
      </c>
      <c r="C29" s="50">
        <v>190</v>
      </c>
      <c r="D29" s="50">
        <v>188</v>
      </c>
      <c r="E29" s="50">
        <v>1140</v>
      </c>
      <c r="F29" s="50">
        <v>1841</v>
      </c>
      <c r="G29" s="307">
        <f>((GETPIVOTDATA("capacitados",$A$15,"sost","Estatal","entidad","Hidalgo","Año",2022)/GETPIVOTDATA("capacitados",$A$15,"sost","Estatal","entidad","Hidalgo","Año",2021))-1)*100</f>
        <v>61.491228070175438</v>
      </c>
      <c r="H29" s="322">
        <f>GETPIVOTDATA("capacitados",$A$15,"sost","Estatal","entidad","Hidalgo","Año",2022)-GETPIVOTDATA("capacitados",$A$15,"sost","Estatal","entidad","Hidalgo","Año",2021)</f>
        <v>701</v>
      </c>
      <c r="I29" s="307">
        <f>((GETPIVOTDATA("capacitados",$A$15,"sost","Estatal","entidad","Hidalgo","Año",2022)/GETPIVOTDATA("capacitados",$A$15,"sost","Estatal","entidad","Hidalgo","Año",2018))-1)*100</f>
        <v>39.153439153439166</v>
      </c>
      <c r="J29" s="322">
        <f>GETPIVOTDATA("capacitados",$A$15,"sost","Estatal","entidad","Hidalgo","Año",2022)-GETPIVOTDATA("capacitados",$A$15,"sost","Estatal","entidad","Hidalgo","Año",2018)</f>
        <v>518</v>
      </c>
    </row>
    <row r="30" spans="1:10">
      <c r="A30" s="51" t="s">
        <v>13</v>
      </c>
      <c r="B30" s="50">
        <v>12472</v>
      </c>
      <c r="C30" s="50">
        <v>12326</v>
      </c>
      <c r="D30" s="50">
        <v>5734</v>
      </c>
      <c r="E30" s="50">
        <v>9912</v>
      </c>
      <c r="F30" s="50">
        <v>4283</v>
      </c>
      <c r="G30" s="306">
        <f>((GETPIVOTDATA("capacitados",$A$15,"sost","Estatal","entidad","Jalisco","Año",2022)/GETPIVOTDATA("capacitados",$A$15,"sost","Estatal","entidad","Jalisco","Año",2021))-1)*100</f>
        <v>-56.789749798224378</v>
      </c>
      <c r="H30" s="321">
        <f>GETPIVOTDATA("capacitados",$A$15,"sost","Estatal","entidad","Jalisco","Año",2022)-GETPIVOTDATA("capacitados",$A$15,"sost","Estatal","entidad","Jalisco","Año",2021)</f>
        <v>-5629</v>
      </c>
      <c r="I30" s="306">
        <f>((GETPIVOTDATA("capacitados",$A$15,"sost","Estatal","entidad","Jalisco","Año",2022)/GETPIVOTDATA("capacitados",$A$15,"sost","Estatal","entidad","Jalisco","Año",2018))-1)*100</f>
        <v>-65.659076330981406</v>
      </c>
      <c r="J30" s="321">
        <f>GETPIVOTDATA("capacitados",$A$15,"sost","Estatal","entidad","Jalisco","Año",2022)-GETPIVOTDATA("capacitados",$A$15,"sost","Estatal","entidad","Jalisco","Año",2018)</f>
        <v>-8189</v>
      </c>
    </row>
    <row r="31" spans="1:10">
      <c r="A31" s="51" t="s">
        <v>14</v>
      </c>
      <c r="B31" s="50">
        <v>11415</v>
      </c>
      <c r="C31" s="50">
        <v>7749</v>
      </c>
      <c r="D31" s="50">
        <v>3921</v>
      </c>
      <c r="E31" s="50">
        <v>6191</v>
      </c>
      <c r="F31" s="50">
        <v>6829</v>
      </c>
      <c r="G31" s="307">
        <f>((GETPIVOTDATA("capacitados",$A$15,"sost","Estatal","entidad","México","Año",2022)/GETPIVOTDATA("capacitados",$A$15,"sost","Estatal","entidad","México","Año",2021))-1)*100</f>
        <v>10.305281860765625</v>
      </c>
      <c r="H31" s="322">
        <f>GETPIVOTDATA("capacitados",$A$15,"sost","Estatal","entidad","México","Año",2022)-GETPIVOTDATA("capacitados",$A$15,"sost","Estatal","entidad","México","Año",2021)</f>
        <v>638</v>
      </c>
      <c r="I31" s="307">
        <f>((GETPIVOTDATA("capacitados",$A$15,"sost","Estatal","entidad","México","Año",2022)/GETPIVOTDATA("capacitados",$A$15,"sost","Estatal","entidad","México","Año",2018))-1)*100</f>
        <v>-40.175208059570743</v>
      </c>
      <c r="J31" s="322">
        <f>GETPIVOTDATA("capacitados",$A$15,"sost","Estatal","entidad","México","Año",2022)-GETPIVOTDATA("capacitados",$A$15,"sost","Estatal","entidad","México","Año",2018)</f>
        <v>-4586</v>
      </c>
    </row>
    <row r="32" spans="1:10">
      <c r="A32" s="51" t="s">
        <v>30</v>
      </c>
      <c r="B32" s="50">
        <v>2699</v>
      </c>
      <c r="C32" s="50">
        <v>2404</v>
      </c>
      <c r="D32" s="50">
        <v>691</v>
      </c>
      <c r="E32" s="50">
        <v>495</v>
      </c>
      <c r="F32" s="50">
        <v>882</v>
      </c>
      <c r="G32" s="306">
        <f>((GETPIVOTDATA("capacitados",$A$15,"sost","Estatal","entidad","Michoacán de Ocampo","Año",2022)/GETPIVOTDATA("capacitados",$A$15,"sost","Estatal","entidad","Michoacán de Ocampo","Año",2021))-1)*100</f>
        <v>78.181818181818173</v>
      </c>
      <c r="H32" s="321">
        <f>GETPIVOTDATA("capacitados",$A$15,"sost","Estatal","entidad","Michoacán de Ocampo","Año",2022)-GETPIVOTDATA("capacitados",$A$15,"sost","Estatal","entidad","Michoacán de Ocampo","Año",2021)</f>
        <v>387</v>
      </c>
      <c r="I32" s="306">
        <f>((GETPIVOTDATA("capacitados",$A$15,"sost","Estatal","entidad","Michoacán de Ocampo","Año",2022)/GETPIVOTDATA("capacitados",$A$15,"sost","Estatal","entidad","Michoacán de Ocampo","Año",2018))-1)*100</f>
        <v>-67.321230085216754</v>
      </c>
      <c r="J32" s="321">
        <f>GETPIVOTDATA("capacitados",$A$15,"sost","Estatal","entidad","Michoacán de Ocampo","Año",2022)-GETPIVOTDATA("capacitados",$A$15,"sost","Estatal","entidad","Michoacán de Ocampo","Año",2018)</f>
        <v>-1817</v>
      </c>
    </row>
    <row r="33" spans="1:10">
      <c r="A33" s="51" t="s">
        <v>15</v>
      </c>
      <c r="B33" s="50">
        <v>2994</v>
      </c>
      <c r="C33" s="50">
        <v>943</v>
      </c>
      <c r="D33" s="50">
        <v>1370</v>
      </c>
      <c r="E33" s="50">
        <v>1414</v>
      </c>
      <c r="F33" s="50">
        <v>7416</v>
      </c>
      <c r="G33" s="307">
        <f>((GETPIVOTDATA("capacitados",$A$15,"sost","Estatal","entidad","Morelos","Año",2022)/GETPIVOTDATA("capacitados",$A$15,"sost","Estatal","entidad","Morelos","Año",2021))-1)*100</f>
        <v>424.46958981612448</v>
      </c>
      <c r="H33" s="322">
        <f>GETPIVOTDATA("capacitados",$A$15,"sost","Estatal","entidad","Morelos","Año",2022)-GETPIVOTDATA("capacitados",$A$15,"sost","Estatal","entidad","Morelos","Año",2021)</f>
        <v>6002</v>
      </c>
      <c r="I33" s="307">
        <f>((GETPIVOTDATA("capacitados",$A$15,"sost","Estatal","entidad","Morelos","Año",2022)/GETPIVOTDATA("capacitados",$A$15,"sost","Estatal","entidad","Morelos","Año",2018))-1)*100</f>
        <v>147.69539078156311</v>
      </c>
      <c r="J33" s="322">
        <f>GETPIVOTDATA("capacitados",$A$15,"sost","Estatal","entidad","Morelos","Año",2022)-GETPIVOTDATA("capacitados",$A$15,"sost","Estatal","entidad","Morelos","Año",2018)</f>
        <v>4422</v>
      </c>
    </row>
    <row r="34" spans="1:10">
      <c r="A34" s="51" t="s">
        <v>16</v>
      </c>
      <c r="B34" s="50">
        <v>2109</v>
      </c>
      <c r="C34" s="50">
        <v>1124</v>
      </c>
      <c r="D34" s="50">
        <v>1824</v>
      </c>
      <c r="E34" s="50">
        <v>2448</v>
      </c>
      <c r="F34" s="50">
        <v>712</v>
      </c>
      <c r="G34" s="306">
        <f>((GETPIVOTDATA("capacitados",$A$15,"sost","Estatal","entidad","Nayarit","Año",2022)/GETPIVOTDATA("capacitados",$A$15,"sost","Estatal","entidad","Nayarit","Año",2021))-1)*100</f>
        <v>-70.915032679738559</v>
      </c>
      <c r="H34" s="321">
        <f>GETPIVOTDATA("capacitados",$A$15,"sost","Estatal","entidad","Nayarit","Año",2022)-GETPIVOTDATA("capacitados",$A$15,"sost","Estatal","entidad","Nayarit","Año",2021)</f>
        <v>-1736</v>
      </c>
      <c r="I34" s="306">
        <f>((GETPIVOTDATA("capacitados",$A$15,"sost","Estatal","entidad","Nayarit","Año",2022)/GETPIVOTDATA("capacitados",$A$15,"sost","Estatal","entidad","Nayarit","Año",2018))-1)*100</f>
        <v>-66.239924134660981</v>
      </c>
      <c r="J34" s="321">
        <f>GETPIVOTDATA("capacitados",$A$15,"sost","Estatal","entidad","Nayarit","Año",2022)-GETPIVOTDATA("capacitados",$A$15,"sost","Estatal","entidad","Nayarit","Año",2018)</f>
        <v>-1397</v>
      </c>
    </row>
    <row r="35" spans="1:10">
      <c r="A35" s="51" t="s">
        <v>17</v>
      </c>
      <c r="B35" s="50">
        <v>27119</v>
      </c>
      <c r="C35" s="50">
        <v>29494</v>
      </c>
      <c r="D35" s="50">
        <v>21320</v>
      </c>
      <c r="E35" s="50">
        <v>39669</v>
      </c>
      <c r="F35" s="50">
        <v>41660</v>
      </c>
      <c r="G35" s="307">
        <f>((GETPIVOTDATA("capacitados",$A$15,"sost","Estatal","entidad","Nuevo León","Año",2022)/GETPIVOTDATA("capacitados",$A$15,"sost","Estatal","entidad","Nuevo León","Año",2021))-1)*100</f>
        <v>5.0190324938869102</v>
      </c>
      <c r="H35" s="322">
        <f>GETPIVOTDATA("capacitados",$A$15,"sost","Estatal","entidad","Nuevo León","Año",2022)-GETPIVOTDATA("capacitados",$A$15,"sost","Estatal","entidad","Nuevo León","Año",2021)</f>
        <v>1991</v>
      </c>
      <c r="I35" s="307">
        <f>((GETPIVOTDATA("capacitados",$A$15,"sost","Estatal","entidad","Nuevo León","Año",2022)/GETPIVOTDATA("capacitados",$A$15,"sost","Estatal","entidad","Nuevo León","Año",2018))-1)*100</f>
        <v>53.619233747557061</v>
      </c>
      <c r="J35" s="322">
        <f>GETPIVOTDATA("capacitados",$A$15,"sost","Estatal","entidad","Nuevo León","Año",2022)-GETPIVOTDATA("capacitados",$A$15,"sost","Estatal","entidad","Nuevo León","Año",2018)</f>
        <v>14541</v>
      </c>
    </row>
    <row r="36" spans="1:10">
      <c r="A36" s="51" t="s">
        <v>18</v>
      </c>
      <c r="B36" s="50">
        <v>3898</v>
      </c>
      <c r="C36" s="50">
        <v>2965</v>
      </c>
      <c r="D36" s="50">
        <v>1560</v>
      </c>
      <c r="E36" s="50">
        <v>381</v>
      </c>
      <c r="F36" s="50">
        <v>3020</v>
      </c>
      <c r="G36" s="306">
        <f>((GETPIVOTDATA("capacitados",$A$15,"sost","Estatal","entidad","Puebla","Año",2022)/GETPIVOTDATA("capacitados",$A$15,"sost","Estatal","entidad","Puebla","Año",2021))-1)*100</f>
        <v>692.65091863517057</v>
      </c>
      <c r="H36" s="321">
        <f>GETPIVOTDATA("capacitados",$A$15,"sost","Estatal","entidad","Puebla","Año",2022)-GETPIVOTDATA("capacitados",$A$15,"sost","Estatal","entidad","Puebla","Año",2021)</f>
        <v>2639</v>
      </c>
      <c r="I36" s="306">
        <f>((GETPIVOTDATA("capacitados",$A$15,"sost","Estatal","entidad","Puebla","Año",2022)/GETPIVOTDATA("capacitados",$A$15,"sost","Estatal","entidad","Puebla","Año",2018))-1)*100</f>
        <v>-22.52437147255003</v>
      </c>
      <c r="J36" s="321">
        <f>GETPIVOTDATA("capacitados",$A$15,"sost","Estatal","entidad","Puebla","Año",2022)-GETPIVOTDATA("capacitados",$A$15,"sost","Estatal","entidad","Puebla","Año",2018)</f>
        <v>-878</v>
      </c>
    </row>
    <row r="37" spans="1:10">
      <c r="A37" s="51" t="s">
        <v>29</v>
      </c>
      <c r="B37" s="50">
        <v>1223</v>
      </c>
      <c r="C37" s="50">
        <v>363</v>
      </c>
      <c r="D37" s="50">
        <v>158</v>
      </c>
      <c r="E37" s="50">
        <v>205</v>
      </c>
      <c r="F37" s="50">
        <v>515</v>
      </c>
      <c r="G37" s="307">
        <f>((GETPIVOTDATA("capacitados",$A$15,"sost","Estatal","entidad","Querétaro de Arteaga","Año",2022)/GETPIVOTDATA("capacitados",$A$15,"sost","Estatal","entidad","Querétaro de Arteaga","Año",2021))-1)*100</f>
        <v>151.21951219512195</v>
      </c>
      <c r="H37" s="322">
        <f>GETPIVOTDATA("capacitados",$A$15,"sost","Estatal","entidad","Querétaro de Arteaga","Año",2022)-GETPIVOTDATA("capacitados",$A$15,"sost","Estatal","entidad","Querétaro de Arteaga","Año",2021)</f>
        <v>310</v>
      </c>
      <c r="I37" s="307">
        <f>((GETPIVOTDATA("capacitados",$A$15,"sost","Estatal","entidad","Querétaro de Arteaga","Año",2022)/GETPIVOTDATA("capacitados",$A$15,"sost","Estatal","entidad","Querétaro de Arteaga","Año",2018))-1)*100</f>
        <v>-57.890433360588723</v>
      </c>
      <c r="J37" s="322">
        <f>GETPIVOTDATA("capacitados",$A$15,"sost","Estatal","entidad","Querétaro de Arteaga","Año",2022)-GETPIVOTDATA("capacitados",$A$15,"sost","Estatal","entidad","Querétaro de Arteaga","Año",2018)</f>
        <v>-708</v>
      </c>
    </row>
    <row r="38" spans="1:10">
      <c r="A38" s="51" t="s">
        <v>19</v>
      </c>
      <c r="B38" s="50">
        <v>2332</v>
      </c>
      <c r="C38" s="50">
        <v>1492</v>
      </c>
      <c r="D38" s="50">
        <v>6744</v>
      </c>
      <c r="E38" s="50">
        <v>6838</v>
      </c>
      <c r="F38" s="50">
        <v>10968</v>
      </c>
      <c r="G38" s="306">
        <f>((GETPIVOTDATA("capacitados",$A$15,"sost","Estatal","entidad","Quintana Roo","Año",2022)/GETPIVOTDATA("capacitados",$A$15,"sost","Estatal","entidad","Quintana Roo","Año",2021))-1)*100</f>
        <v>60.397777127815154</v>
      </c>
      <c r="H38" s="321">
        <f>GETPIVOTDATA("capacitados",$A$15,"sost","Estatal","entidad","Quintana Roo","Año",2022)-GETPIVOTDATA("capacitados",$A$15,"sost","Estatal","entidad","Quintana Roo","Año",2021)</f>
        <v>4130</v>
      </c>
      <c r="I38" s="306">
        <f>((GETPIVOTDATA("capacitados",$A$15,"sost","Estatal","entidad","Quintana Roo","Año",2022)/GETPIVOTDATA("capacitados",$A$15,"sost","Estatal","entidad","Quintana Roo","Año",2018))-1)*100</f>
        <v>370.32590051457976</v>
      </c>
      <c r="J38" s="321">
        <f>GETPIVOTDATA("capacitados",$A$15,"sost","Estatal","entidad","Quintana Roo","Año",2022)-GETPIVOTDATA("capacitados",$A$15,"sost","Estatal","entidad","Quintana Roo","Año",2018)</f>
        <v>8636</v>
      </c>
    </row>
    <row r="39" spans="1:10">
      <c r="A39" s="51" t="s">
        <v>20</v>
      </c>
      <c r="B39" s="50">
        <v>3301</v>
      </c>
      <c r="C39" s="50">
        <v>5064</v>
      </c>
      <c r="D39" s="50">
        <v>899</v>
      </c>
      <c r="E39" s="50">
        <v>1169</v>
      </c>
      <c r="F39" s="50">
        <v>1526</v>
      </c>
      <c r="G39" s="307">
        <f>((GETPIVOTDATA("capacitados",$A$15,"sost","Estatal","entidad","San Luis Potosí","Año",2022)/GETPIVOTDATA("capacitados",$A$15,"sost","Estatal","entidad","San Luis Potosí","Año",2021))-1)*100</f>
        <v>30.538922155688631</v>
      </c>
      <c r="H39" s="322">
        <f>GETPIVOTDATA("capacitados",$A$15,"sost","Estatal","entidad","San Luis Potosí","Año",2022)-GETPIVOTDATA("capacitados",$A$15,"sost","Estatal","entidad","San Luis Potosí","Año",2021)</f>
        <v>357</v>
      </c>
      <c r="I39" s="307">
        <f>((GETPIVOTDATA("capacitados",$A$15,"sost","Estatal","entidad","San Luis Potosí","Año",2022)/GETPIVOTDATA("capacitados",$A$15,"sost","Estatal","entidad","San Luis Potosí","Año",2018))-1)*100</f>
        <v>-53.771584368373212</v>
      </c>
      <c r="J39" s="322">
        <f>GETPIVOTDATA("capacitados",$A$15,"sost","Estatal","entidad","San Luis Potosí","Año",2022)-GETPIVOTDATA("capacitados",$A$15,"sost","Estatal","entidad","San Luis Potosí","Año",2018)</f>
        <v>-1775</v>
      </c>
    </row>
    <row r="40" spans="1:10">
      <c r="A40" s="51" t="s">
        <v>21</v>
      </c>
      <c r="B40" s="50">
        <v>487</v>
      </c>
      <c r="C40" s="50">
        <v>139</v>
      </c>
      <c r="D40" s="50">
        <v>0</v>
      </c>
      <c r="E40" s="50">
        <v>190</v>
      </c>
      <c r="F40" s="50">
        <v>2417</v>
      </c>
      <c r="G40" s="306">
        <f>((GETPIVOTDATA("capacitados",$A$15,"sost","Estatal","entidad","Sinaloa","Año",2022)/GETPIVOTDATA("capacitados",$A$15,"sost","Estatal","entidad","Sinaloa","Año",2021))-1)*100</f>
        <v>1172.1052631578948</v>
      </c>
      <c r="H40" s="321">
        <f>GETPIVOTDATA("capacitados",$A$15,"sost","Estatal","entidad","Sinaloa","Año",2022)-GETPIVOTDATA("capacitados",$A$15,"sost","Estatal","entidad","Sinaloa","Año",2021)</f>
        <v>2227</v>
      </c>
      <c r="I40" s="306">
        <f>((GETPIVOTDATA("capacitados",$A$15,"sost","Estatal","entidad","Sinaloa","Año",2022)/GETPIVOTDATA("capacitados",$A$15,"sost","Estatal","entidad","Sinaloa","Año",2018))-1)*100</f>
        <v>396.30390143737168</v>
      </c>
      <c r="J40" s="321">
        <f>GETPIVOTDATA("capacitados",$A$15,"sost","Estatal","entidad","Sinaloa","Año",2022)-GETPIVOTDATA("capacitados",$A$15,"sost","Estatal","entidad","Sinaloa","Año",2018)</f>
        <v>1930</v>
      </c>
    </row>
    <row r="41" spans="1:10">
      <c r="A41" s="51" t="s">
        <v>22</v>
      </c>
      <c r="B41" s="50">
        <v>5794</v>
      </c>
      <c r="C41" s="50">
        <v>5632</v>
      </c>
      <c r="D41" s="50">
        <v>821</v>
      </c>
      <c r="E41" s="50">
        <v>943</v>
      </c>
      <c r="F41" s="50">
        <v>682</v>
      </c>
      <c r="G41" s="307">
        <f>((GETPIVOTDATA("capacitados",$A$15,"sost","Estatal","entidad","Sonora","Año",2022)/GETPIVOTDATA("capacitados",$A$15,"sost","Estatal","entidad","Sonora","Año",2021))-1)*100</f>
        <v>-27.677624602332983</v>
      </c>
      <c r="H41" s="322">
        <f>GETPIVOTDATA("capacitados",$A$15,"sost","Estatal","entidad","Sonora","Año",2022)-GETPIVOTDATA("capacitados",$A$15,"sost","Estatal","entidad","Sonora","Año",2021)</f>
        <v>-261</v>
      </c>
      <c r="I41" s="307">
        <f>((GETPIVOTDATA("capacitados",$A$15,"sost","Estatal","entidad","Sonora","Año",2022)/GETPIVOTDATA("capacitados",$A$15,"sost","Estatal","entidad","Sonora","Año",2018))-1)*100</f>
        <v>-88.229202623403523</v>
      </c>
      <c r="J41" s="322">
        <f>GETPIVOTDATA("capacitados",$A$15,"sost","Estatal","entidad","Sonora","Año",2022)-GETPIVOTDATA("capacitados",$A$15,"sost","Estatal","entidad","Sonora","Año",2018)</f>
        <v>-5112</v>
      </c>
    </row>
    <row r="42" spans="1:10">
      <c r="A42" s="51" t="s">
        <v>23</v>
      </c>
      <c r="B42" s="50">
        <v>430</v>
      </c>
      <c r="C42" s="50">
        <v>251</v>
      </c>
      <c r="D42" s="50">
        <v>0</v>
      </c>
      <c r="E42" s="50">
        <v>27</v>
      </c>
      <c r="F42" s="50">
        <v>118</v>
      </c>
      <c r="G42" s="306">
        <f>((GETPIVOTDATA("capacitados",$A$15,"sost","Estatal","entidad","Tabasco","Año",2022)/GETPIVOTDATA("capacitados",$A$15,"sost","Estatal","entidad","Tabasco","Año",2021))-1)*100</f>
        <v>337.03703703703701</v>
      </c>
      <c r="H42" s="321">
        <f>GETPIVOTDATA("capacitados",$A$15,"sost","Estatal","entidad","Tabasco","Año",2022)-GETPIVOTDATA("capacitados",$A$15,"sost","Estatal","entidad","Tabasco","Año",2021)</f>
        <v>91</v>
      </c>
      <c r="I42" s="306">
        <f>((GETPIVOTDATA("capacitados",$A$15,"sost","Estatal","entidad","Tabasco","Año",2022)/GETPIVOTDATA("capacitados",$A$15,"sost","Estatal","entidad","Tabasco","Año",2018))-1)*100</f>
        <v>-72.558139534883722</v>
      </c>
      <c r="J42" s="321">
        <f>GETPIVOTDATA("capacitados",$A$15,"sost","Estatal","entidad","Tabasco","Año",2022)-GETPIVOTDATA("capacitados",$A$15,"sost","Estatal","entidad","Tabasco","Año",2018)</f>
        <v>-312</v>
      </c>
    </row>
    <row r="43" spans="1:10">
      <c r="A43" s="51" t="s">
        <v>24</v>
      </c>
      <c r="B43" s="50">
        <v>10400</v>
      </c>
      <c r="C43" s="50">
        <v>5747</v>
      </c>
      <c r="D43" s="50">
        <v>1987</v>
      </c>
      <c r="E43" s="50">
        <v>2941</v>
      </c>
      <c r="F43" s="50">
        <v>3269</v>
      </c>
      <c r="G43" s="307">
        <f>((GETPIVOTDATA("capacitados",$A$15,"sost","Estatal","entidad","Tamaulipas","Año",2022)/GETPIVOTDATA("capacitados",$A$15,"sost","Estatal","entidad","Tamaulipas","Año",2021))-1)*100</f>
        <v>11.152669160149609</v>
      </c>
      <c r="H43" s="322">
        <f>GETPIVOTDATA("capacitados",$A$15,"sost","Estatal","entidad","Tamaulipas","Año",2022)-GETPIVOTDATA("capacitados",$A$15,"sost","Estatal","entidad","Tamaulipas","Año",2021)</f>
        <v>328</v>
      </c>
      <c r="I43" s="307">
        <f>((GETPIVOTDATA("capacitados",$A$15,"sost","Estatal","entidad","Tamaulipas","Año",2022)/GETPIVOTDATA("capacitados",$A$15,"sost","Estatal","entidad","Tamaulipas","Año",2018))-1)*100</f>
        <v>-68.567307692307693</v>
      </c>
      <c r="J43" s="322">
        <f>GETPIVOTDATA("capacitados",$A$15,"sost","Estatal","entidad","Tamaulipas","Año",2022)-GETPIVOTDATA("capacitados",$A$15,"sost","Estatal","entidad","Tamaulipas","Año",2018)</f>
        <v>-7131</v>
      </c>
    </row>
    <row r="44" spans="1:10">
      <c r="A44" s="51" t="s">
        <v>25</v>
      </c>
      <c r="B44" s="50">
        <v>2082</v>
      </c>
      <c r="C44" s="50">
        <v>4354</v>
      </c>
      <c r="D44" s="50">
        <v>0</v>
      </c>
      <c r="E44" s="50">
        <v>0</v>
      </c>
      <c r="F44" s="50">
        <v>346</v>
      </c>
      <c r="G44" s="306"/>
      <c r="H44" s="321">
        <f>GETPIVOTDATA("capacitados",$A$15,"sost","Estatal","entidad","Tlaxcala","Año",2022)-GETPIVOTDATA("capacitados",$A$15,"sost","Estatal","entidad","Tlaxcala","Año",2021)</f>
        <v>346</v>
      </c>
      <c r="I44" s="306"/>
      <c r="J44" s="321">
        <f>GETPIVOTDATA("capacitados",$A$15,"sost","Estatal","entidad","Tlaxcala","Año",2022)-GETPIVOTDATA("capacitados",$A$15,"sost","Estatal","entidad","Tlaxcala","Año",2018)</f>
        <v>-1736</v>
      </c>
    </row>
    <row r="45" spans="1:10">
      <c r="A45" s="51" t="s">
        <v>53</v>
      </c>
      <c r="B45" s="50">
        <v>7078</v>
      </c>
      <c r="C45" s="50">
        <v>4933</v>
      </c>
      <c r="D45" s="50">
        <v>2283</v>
      </c>
      <c r="E45" s="50">
        <v>4605</v>
      </c>
      <c r="F45" s="50">
        <v>6557</v>
      </c>
      <c r="G45" s="307">
        <f>((GETPIVOTDATA("capacitados",$A$15,"sost","Estatal","entidad","Veracruz llave","Año",2022)/GETPIVOTDATA("capacitados",$A$15,"sost","Estatal","entidad","Veracruz llave","Año",2021))-1)*100</f>
        <v>42.3887079261672</v>
      </c>
      <c r="H45" s="322">
        <f>GETPIVOTDATA("capacitados",$A$15,"sost","Estatal","entidad","Veracruz llave","Año",2022)-GETPIVOTDATA("capacitados",$A$15,"sost","Estatal","entidad","Veracruz llave","Año",2021)</f>
        <v>1952</v>
      </c>
      <c r="I45" s="307">
        <f>((GETPIVOTDATA("capacitados",$A$15,"sost","Estatal","entidad","Veracruz llave","Año",2022)/GETPIVOTDATA("capacitados",$A$15,"sost","Estatal","entidad","Veracruz llave","Año",2018))-1)*100</f>
        <v>-7.3608363944617121</v>
      </c>
      <c r="J45" s="322">
        <f>GETPIVOTDATA("capacitados",$A$15,"sost","Estatal","entidad","Veracruz llave","Año",2022)-GETPIVOTDATA("capacitados",$A$15,"sost","Estatal","entidad","Veracruz llave","Año",2018)</f>
        <v>-521</v>
      </c>
    </row>
    <row r="46" spans="1:10">
      <c r="A46" s="51" t="s">
        <v>26</v>
      </c>
      <c r="B46" s="50">
        <v>3327</v>
      </c>
      <c r="C46" s="50">
        <v>2290</v>
      </c>
      <c r="D46" s="50">
        <v>1610</v>
      </c>
      <c r="E46" s="50">
        <v>4243</v>
      </c>
      <c r="F46" s="50">
        <v>4955</v>
      </c>
      <c r="G46" s="306">
        <f>((GETPIVOTDATA("capacitados",$A$15,"sost","Estatal","entidad","Yucatán","Año",2022)/GETPIVOTDATA("capacitados",$A$15,"sost","Estatal","entidad","Yucatán","Año",2021))-1)*100</f>
        <v>16.780579778458637</v>
      </c>
      <c r="H46" s="321">
        <f>GETPIVOTDATA("capacitados",$A$15,"sost","Estatal","entidad","Yucatán","Año",2022)-GETPIVOTDATA("capacitados",$A$15,"sost","Estatal","entidad","Yucatán","Año",2021)</f>
        <v>712</v>
      </c>
      <c r="I46" s="306">
        <f>((GETPIVOTDATA("capacitados",$A$15,"sost","Estatal","entidad","Yucatán","Año",2022)/GETPIVOTDATA("capacitados",$A$15,"sost","Estatal","entidad","Yucatán","Año",2018))-1)*100</f>
        <v>48.932972648031267</v>
      </c>
      <c r="J46" s="321">
        <f>GETPIVOTDATA("capacitados",$A$15,"sost","Estatal","entidad","Yucatán","Año",2022)-GETPIVOTDATA("capacitados",$A$15,"sost","Estatal","entidad","Yucatán","Año",2018)</f>
        <v>1628</v>
      </c>
    </row>
    <row r="47" spans="1:10">
      <c r="A47" s="51" t="s">
        <v>27</v>
      </c>
      <c r="B47" s="50">
        <v>2252</v>
      </c>
      <c r="C47" s="50">
        <v>1895</v>
      </c>
      <c r="D47" s="50">
        <v>329</v>
      </c>
      <c r="E47" s="50">
        <v>452</v>
      </c>
      <c r="F47" s="50">
        <v>365</v>
      </c>
      <c r="G47" s="307">
        <f>((GETPIVOTDATA("capacitados",$A$15,"sost","Estatal","entidad","Zacatecas","Año",2022)/GETPIVOTDATA("capacitados",$A$15,"sost","Estatal","entidad","Zacatecas","Año",2021))-1)*100</f>
        <v>-19.247787610619472</v>
      </c>
      <c r="H47" s="322">
        <f>GETPIVOTDATA("capacitados",$A$15,"sost","Estatal","entidad","Zacatecas","Año",2022)-GETPIVOTDATA("capacitados",$A$15,"sost","Estatal","entidad","Zacatecas","Año",2021)</f>
        <v>-87</v>
      </c>
      <c r="I47" s="307">
        <f>((GETPIVOTDATA("capacitados",$A$15,"sost","Estatal","entidad","Zacatecas","Año",2022)/GETPIVOTDATA("capacitados",$A$15,"sost","Estatal","entidad","Zacatecas","Año",2018))-1)*100</f>
        <v>-83.792184724689164</v>
      </c>
      <c r="J47" s="322">
        <f>GETPIVOTDATA("capacitados",$A$15,"sost","Estatal","entidad","Zacatecas","Año",2022)-GETPIVOTDATA("capacitados",$A$15,"sost","Estatal","entidad","Zacatecas","Año",2018)</f>
        <v>-1887</v>
      </c>
    </row>
    <row r="48" spans="1:10">
      <c r="A48" s="49" t="s">
        <v>50</v>
      </c>
      <c r="B48" s="87">
        <v>13161</v>
      </c>
      <c r="C48" s="87">
        <v>13166</v>
      </c>
      <c r="D48" s="87">
        <v>3383</v>
      </c>
      <c r="E48" s="87">
        <v>5047</v>
      </c>
      <c r="F48" s="87">
        <v>9796</v>
      </c>
      <c r="G48" s="308">
        <f>((GETPIVOTDATA("capacitados",$A$15,"sost","Federal","Año",2022)/GETPIVOTDATA("capacitados",$A$15,"sost","Federal","Año",2021))-1)*100</f>
        <v>94.09550227858135</v>
      </c>
      <c r="H48" s="323">
        <f>GETPIVOTDATA("capacitados",$A$15,"sost","Federal","Año",2022)-GETPIVOTDATA("capacitados",$A$15,"sost","Federal","Año",2021)</f>
        <v>4749</v>
      </c>
      <c r="I48" s="308">
        <f>((GETPIVOTDATA("capacitados",$A$15,"sost","Federal","Año",2022)/GETPIVOTDATA("capacitados",$A$15,"sost","Federal","Año",2018))-1)*100</f>
        <v>-25.567965960033433</v>
      </c>
      <c r="J48" s="323">
        <f>GETPIVOTDATA("capacitados",$A$15,"sost","Federal","Año",2022)-GETPIVOTDATA("capacitados",$A$15,"sost","Federal","Año",2018)</f>
        <v>-3365</v>
      </c>
    </row>
    <row r="49" spans="1:10">
      <c r="A49" s="51" t="s">
        <v>32</v>
      </c>
      <c r="B49" s="50">
        <v>8387</v>
      </c>
      <c r="C49" s="50">
        <v>10338</v>
      </c>
      <c r="D49" s="50">
        <v>1436</v>
      </c>
      <c r="E49" s="50">
        <v>3707</v>
      </c>
      <c r="F49" s="50">
        <v>4682</v>
      </c>
      <c r="G49" s="307">
        <f>((GETPIVOTDATA("capacitados",$A$15,"sost","Federal","entidad","Ciudad de México","Año",2022)/GETPIVOTDATA("capacitados",$A$15,"sost","Federal","entidad","Ciudad de México","Año",2021))-1)*100</f>
        <v>26.301591583490701</v>
      </c>
      <c r="H49" s="322">
        <f>GETPIVOTDATA("capacitados",$A$15,"sost","Federal","entidad","Ciudad de México","Año",2022)-GETPIVOTDATA("capacitados",$A$15,"sost","Federal","entidad","Ciudad de México","Año",2021)</f>
        <v>975</v>
      </c>
      <c r="I49" s="307">
        <f>((GETPIVOTDATA("capacitados",$A$15,"sost","Federal","entidad","Ciudad de México","Año",2022)/GETPIVOTDATA("capacitados",$A$15,"sost","Federal","entidad","Ciudad de México","Año",2018))-1)*100</f>
        <v>-44.175509717419814</v>
      </c>
      <c r="J49" s="322">
        <f>GETPIVOTDATA("capacitados",$A$15,"sost","Federal","entidad","Ciudad de México","Año",2022)-GETPIVOTDATA("capacitados",$A$15,"sost","Federal","entidad","Ciudad de México","Año",2018)</f>
        <v>-3705</v>
      </c>
    </row>
    <row r="50" spans="1:10">
      <c r="A50" s="51" t="s">
        <v>28</v>
      </c>
      <c r="B50" s="50">
        <v>3586</v>
      </c>
      <c r="C50" s="50">
        <v>2403</v>
      </c>
      <c r="D50" s="50">
        <v>811</v>
      </c>
      <c r="E50" s="50">
        <v>571</v>
      </c>
      <c r="F50" s="50">
        <v>275</v>
      </c>
      <c r="G50" s="306">
        <f>((GETPIVOTDATA("capacitados",$A$15,"sost","Federal","entidad","Oaxaca","Año",2022)/GETPIVOTDATA("capacitados",$A$15,"sost","Federal","entidad","Oaxaca","Año",2021))-1)*100</f>
        <v>-51.838879159369533</v>
      </c>
      <c r="H50" s="321">
        <f>GETPIVOTDATA("capacitados",$A$15,"sost","Federal","entidad","Oaxaca","Año",2022)-GETPIVOTDATA("capacitados",$A$15,"sost","Federal","entidad","Oaxaca","Año",2021)</f>
        <v>-296</v>
      </c>
      <c r="I50" s="306">
        <f>((GETPIVOTDATA("capacitados",$A$15,"sost","Federal","entidad","Oaxaca","Año",2022)/GETPIVOTDATA("capacitados",$A$15,"sost","Federal","entidad","Oaxaca","Año",2018))-1)*100</f>
        <v>-92.331288343558285</v>
      </c>
      <c r="J50" s="321">
        <f>GETPIVOTDATA("capacitados",$A$15,"sost","Federal","entidad","Oaxaca","Año",2022)-GETPIVOTDATA("capacitados",$A$15,"sost","Federal","entidad","Oaxaca","Año",2018)</f>
        <v>-3311</v>
      </c>
    </row>
    <row r="51" spans="1:10">
      <c r="A51" s="51" t="s">
        <v>39</v>
      </c>
      <c r="B51" s="50">
        <v>1188</v>
      </c>
      <c r="C51" s="50">
        <v>425</v>
      </c>
      <c r="D51" s="50">
        <v>1136</v>
      </c>
      <c r="E51" s="50">
        <v>769</v>
      </c>
      <c r="F51" s="50">
        <v>4839</v>
      </c>
      <c r="G51" s="354">
        <f>((GETPIVOTDATA("capacitados",$A$15,"sost","Federal","entidad","Oficinas Nacionales","Año",2022)/GETPIVOTDATA("capacitados",$A$15,"sost","Federal","entidad","Oficinas Nacionales","Año",2021))-1)*100</f>
        <v>529.25877763328992</v>
      </c>
      <c r="H51" s="322">
        <f>GETPIVOTDATA("capacitados",$A$15,"sost","Federal","entidad","Oficinas Nacionales","Año",2022)-GETPIVOTDATA("capacitados",$A$15,"sost","Federal","entidad","Oficinas Nacionales","Año",2021)</f>
        <v>4070</v>
      </c>
      <c r="I51" s="354">
        <f>((GETPIVOTDATA("capacitados",$A$15,"sost","Federal","entidad","Oficinas Nacionales","Año",2022)/GETPIVOTDATA("capacitados",$A$15,"sost","Federal","entidad","Oficinas Nacionales","Año",2018))-1)*100</f>
        <v>307.32323232323233</v>
      </c>
      <c r="J51" s="322">
        <f>GETPIVOTDATA("capacitados",$A$15,"sost","Federal","entidad","Oficinas Nacionales","Año",2022)-GETPIVOTDATA("capacitados",$A$15,"sost","Federal","entidad","Oficinas Nacionales","Año",2018)</f>
        <v>3651</v>
      </c>
    </row>
    <row r="52" spans="1:10" ht="15" hidden="1">
      <c r="A52" s="49" t="s">
        <v>124</v>
      </c>
      <c r="B52" s="50">
        <v>0</v>
      </c>
      <c r="C52" s="50">
        <v>0</v>
      </c>
      <c r="D52" s="50">
        <v>0</v>
      </c>
      <c r="E52" s="50">
        <v>0</v>
      </c>
      <c r="F52" s="50">
        <v>0</v>
      </c>
      <c r="G52"/>
      <c r="H52" s="323"/>
      <c r="I52" s="291"/>
      <c r="J52" s="323"/>
    </row>
    <row r="53" spans="1:10" ht="15" hidden="1">
      <c r="A53" s="51" t="s">
        <v>40</v>
      </c>
      <c r="B53" s="50">
        <v>0</v>
      </c>
      <c r="C53" s="50">
        <v>0</v>
      </c>
      <c r="D53" s="50">
        <v>0</v>
      </c>
      <c r="E53" s="50">
        <v>0</v>
      </c>
      <c r="F53" s="50">
        <v>0</v>
      </c>
      <c r="G53"/>
      <c r="H53" s="321"/>
      <c r="I53" s="291"/>
      <c r="J53" s="321"/>
    </row>
    <row r="54" spans="1:10" hidden="1">
      <c r="A54" s="49" t="s">
        <v>37</v>
      </c>
      <c r="B54" s="50">
        <v>164018</v>
      </c>
      <c r="C54" s="50">
        <v>149444</v>
      </c>
      <c r="D54" s="50">
        <v>84543</v>
      </c>
      <c r="E54" s="50">
        <v>119725</v>
      </c>
      <c r="F54" s="50">
        <v>148628</v>
      </c>
      <c r="G54" s="308">
        <f>((GETPIVOTDATA("capacitados",$A$15,"Año",2022)/GETPIVOTDATA("capacitados",$A$15,"Año",2021))-1)*100</f>
        <v>24.141156817707255</v>
      </c>
      <c r="H54" s="329">
        <f>GETPIVOTDATA("capacitados",$A$15,"Año",2022)-GETPIVOTDATA("capacitados",$A$15,"Año",2021)</f>
        <v>28903</v>
      </c>
      <c r="I54" s="308">
        <f>((GETPIVOTDATA("capacitados",$A$15,"Año",2022)/GETPIVOTDATA("capacitados",$A$15,"Año",2018))-1)*100</f>
        <v>-9.3831164872148154</v>
      </c>
      <c r="J54" s="329">
        <f>GETPIVOTDATA("capacitados",$A$15,"Año",2022)-GETPIVOTDATA("capacitados",$A$15,"Año",2018)</f>
        <v>-15390</v>
      </c>
    </row>
    <row r="55" spans="1:10" ht="8.1" customHeight="1"/>
    <row r="56" spans="1:10" ht="13.5" customHeight="1">
      <c r="A56" s="84" t="s">
        <v>275</v>
      </c>
      <c r="B56" s="85"/>
      <c r="C56" s="85"/>
      <c r="D56" s="85"/>
      <c r="E56" s="85"/>
      <c r="F56" s="85"/>
      <c r="G56" s="85"/>
    </row>
    <row r="57" spans="1:10">
      <c r="A57" s="84"/>
    </row>
  </sheetData>
  <mergeCells count="3">
    <mergeCell ref="B14:D14"/>
    <mergeCell ref="E14:G14"/>
    <mergeCell ref="A5:J5"/>
  </mergeCells>
  <printOptions horizontalCentered="1"/>
  <pageMargins left="0.70866141732283472" right="0.70866141732283472" top="0.74803149606299213" bottom="0.74803149606299213" header="0.31496062992125984" footer="0.31496062992125984"/>
  <pageSetup paperSize="9" scale="86" orientation="portrait" r:id="rId2"/>
  <drawing r:id="rId3"/>
  <tableParts count="1">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56"/>
  <sheetViews>
    <sheetView showGridLines="0" view="pageBreakPreview" topLeftCell="A13" zoomScale="115" zoomScaleNormal="120" zoomScaleSheetLayoutView="115" workbookViewId="0">
      <selection activeCell="L39" sqref="L39"/>
    </sheetView>
  </sheetViews>
  <sheetFormatPr baseColWidth="10" defaultColWidth="11.42578125" defaultRowHeight="13.5"/>
  <cols>
    <col min="1" max="1" width="23.5703125" style="48" customWidth="1"/>
    <col min="2" max="10" width="9.42578125" style="48" customWidth="1"/>
    <col min="11" max="11" width="15.140625" style="48" bestFit="1" customWidth="1"/>
    <col min="12" max="12" width="11.5703125" style="48" bestFit="1" customWidth="1"/>
    <col min="13" max="13" width="15.140625" style="48" bestFit="1" customWidth="1"/>
    <col min="14" max="14" width="11.5703125" style="48" bestFit="1" customWidth="1"/>
    <col min="15" max="15" width="20.140625" style="48" bestFit="1" customWidth="1"/>
    <col min="16" max="16" width="16.5703125" style="48" bestFit="1" customWidth="1"/>
    <col min="17" max="16384" width="11.42578125" style="48"/>
  </cols>
  <sheetData>
    <row r="1" spans="1:14" s="3" customFormat="1" ht="15" customHeight="1">
      <c r="B1" s="1"/>
      <c r="C1" s="1"/>
      <c r="D1" s="1"/>
      <c r="E1" s="1"/>
      <c r="F1" s="1"/>
      <c r="G1" s="1"/>
      <c r="J1" s="64" t="s">
        <v>48</v>
      </c>
    </row>
    <row r="2" spans="1:14" s="3" customFormat="1" ht="15" customHeight="1">
      <c r="B2" s="1"/>
      <c r="C2" s="1"/>
      <c r="D2" s="1"/>
      <c r="E2" s="1"/>
      <c r="F2" s="1"/>
      <c r="G2" s="1"/>
      <c r="J2" s="6" t="s">
        <v>42</v>
      </c>
    </row>
    <row r="3" spans="1:14" s="3" customFormat="1" ht="15" customHeight="1">
      <c r="B3" s="1"/>
      <c r="C3" s="1"/>
      <c r="D3" s="1"/>
      <c r="E3" s="1"/>
      <c r="F3" s="1"/>
      <c r="G3" s="1"/>
      <c r="H3" s="63"/>
    </row>
    <row r="4" spans="1:14" s="3" customFormat="1" ht="13.5" customHeight="1">
      <c r="B4" s="1"/>
      <c r="C4" s="1"/>
      <c r="D4" s="1"/>
      <c r="E4" s="1"/>
      <c r="F4" s="1"/>
      <c r="G4" s="1"/>
      <c r="H4" s="63"/>
    </row>
    <row r="5" spans="1:14" s="3" customFormat="1" ht="15" customHeight="1">
      <c r="A5" s="367" t="s">
        <v>183</v>
      </c>
      <c r="B5" s="367"/>
      <c r="C5" s="367"/>
      <c r="D5" s="367"/>
      <c r="E5" s="367"/>
      <c r="F5" s="367"/>
      <c r="G5" s="367"/>
      <c r="H5" s="367"/>
      <c r="I5" s="367"/>
      <c r="J5" s="367"/>
    </row>
    <row r="6" spans="1:14" s="3" customFormat="1" ht="13.5" customHeight="1">
      <c r="A6" s="122"/>
      <c r="B6" s="63"/>
      <c r="C6" s="65"/>
      <c r="D6" s="65"/>
      <c r="E6" s="66"/>
      <c r="F6" s="66"/>
      <c r="G6" s="66"/>
      <c r="H6" s="66"/>
    </row>
    <row r="7" spans="1:14" s="68" customFormat="1" ht="15" customHeight="1">
      <c r="A7" s="76" t="s">
        <v>45</v>
      </c>
      <c r="B7" s="76" t="s">
        <v>0</v>
      </c>
      <c r="C7" s="67"/>
      <c r="D7" s="67"/>
      <c r="E7" s="63"/>
      <c r="F7" s="63"/>
      <c r="G7" s="63"/>
      <c r="H7" s="63"/>
    </row>
    <row r="8" spans="1:14" s="68" customFormat="1" ht="15" customHeight="1">
      <c r="A8" s="77">
        <v>2018</v>
      </c>
      <c r="B8" s="92">
        <f>$B$54</f>
        <v>20186</v>
      </c>
      <c r="C8" s="69"/>
      <c r="D8" s="67"/>
      <c r="E8" s="63"/>
      <c r="F8" s="63"/>
      <c r="G8" s="63"/>
      <c r="H8" s="63"/>
      <c r="I8" s="70"/>
    </row>
    <row r="9" spans="1:14" s="68" customFormat="1" ht="15" customHeight="1">
      <c r="A9" s="77">
        <v>2019</v>
      </c>
      <c r="B9" s="92">
        <f>$C$54</f>
        <v>17392</v>
      </c>
      <c r="C9" s="67"/>
      <c r="D9" s="67"/>
      <c r="E9" s="63"/>
      <c r="F9" s="63"/>
      <c r="G9" s="63"/>
      <c r="H9" s="63"/>
      <c r="I9" s="70"/>
    </row>
    <row r="10" spans="1:14" s="68" customFormat="1" ht="15" customHeight="1">
      <c r="A10" s="77">
        <v>2020</v>
      </c>
      <c r="B10" s="92">
        <f>$D$54</f>
        <v>6838</v>
      </c>
      <c r="C10" s="67"/>
      <c r="D10" s="67"/>
      <c r="E10" s="63"/>
      <c r="F10" s="63"/>
      <c r="G10" s="63"/>
      <c r="H10" s="63"/>
      <c r="I10" s="70"/>
    </row>
    <row r="11" spans="1:14" s="68" customFormat="1" ht="15" customHeight="1">
      <c r="A11" s="77">
        <v>2021</v>
      </c>
      <c r="B11" s="92">
        <f>$E$54</f>
        <v>9685</v>
      </c>
      <c r="C11" s="67"/>
      <c r="D11" s="67"/>
      <c r="E11" s="63"/>
      <c r="F11" s="63"/>
      <c r="G11" s="63"/>
      <c r="H11" s="63"/>
      <c r="I11" s="70"/>
    </row>
    <row r="12" spans="1:14" s="68" customFormat="1" ht="15" customHeight="1">
      <c r="A12" s="77">
        <v>2022</v>
      </c>
      <c r="B12" s="92">
        <f>$F$54</f>
        <v>11282</v>
      </c>
      <c r="C12" s="67"/>
      <c r="D12" s="67"/>
      <c r="E12" s="63"/>
      <c r="F12" s="63"/>
      <c r="G12" s="63"/>
      <c r="H12" s="63"/>
      <c r="I12" s="70"/>
      <c r="J12" s="288"/>
    </row>
    <row r="13" spans="1:14" s="68" customFormat="1" ht="15" customHeight="1">
      <c r="A13" s="79" t="s">
        <v>314</v>
      </c>
      <c r="B13" s="92">
        <f>B12-B11</f>
        <v>1597</v>
      </c>
      <c r="C13" s="67"/>
      <c r="D13" s="67"/>
      <c r="E13" s="63"/>
      <c r="F13" s="63"/>
      <c r="G13" s="63"/>
      <c r="H13" s="63"/>
    </row>
    <row r="14" spans="1:14" s="3" customFormat="1" ht="18" customHeight="1">
      <c r="A14" s="71"/>
      <c r="B14" s="365"/>
      <c r="C14" s="365"/>
      <c r="D14" s="365"/>
      <c r="E14" s="366"/>
      <c r="F14" s="366"/>
      <c r="G14" s="366"/>
      <c r="H14" s="72"/>
    </row>
    <row r="15" spans="1:14" hidden="1">
      <c r="A15" s="83" t="s">
        <v>184</v>
      </c>
      <c r="B15" s="47" t="s">
        <v>45</v>
      </c>
      <c r="G15" s="311"/>
      <c r="H15" s="311"/>
      <c r="I15" s="311"/>
      <c r="J15" s="311"/>
      <c r="K15" s="2"/>
      <c r="L15" s="2"/>
      <c r="M15" s="2"/>
      <c r="N15" s="2"/>
    </row>
    <row r="16" spans="1:14" ht="27">
      <c r="A16" s="189" t="s">
        <v>156</v>
      </c>
      <c r="B16" s="190">
        <v>2018</v>
      </c>
      <c r="C16" s="190">
        <v>2019</v>
      </c>
      <c r="D16" s="190">
        <v>2020</v>
      </c>
      <c r="E16" s="190">
        <v>2021</v>
      </c>
      <c r="F16" s="190">
        <v>2022</v>
      </c>
      <c r="G16" s="313" t="s">
        <v>333</v>
      </c>
      <c r="H16" s="313" t="s">
        <v>334</v>
      </c>
      <c r="I16" s="313" t="s">
        <v>333</v>
      </c>
      <c r="J16" s="313" t="s">
        <v>335</v>
      </c>
      <c r="K16" s="2"/>
      <c r="L16" s="2"/>
      <c r="M16" s="2"/>
      <c r="N16" s="2"/>
    </row>
    <row r="17" spans="1:14">
      <c r="A17" s="49" t="s">
        <v>49</v>
      </c>
      <c r="B17" s="50">
        <v>20186</v>
      </c>
      <c r="C17" s="50">
        <v>17392</v>
      </c>
      <c r="D17" s="50">
        <v>6838</v>
      </c>
      <c r="E17" s="50">
        <v>9685</v>
      </c>
      <c r="F17" s="50">
        <v>11282</v>
      </c>
      <c r="G17" s="332">
        <f>((GETPIVOTDATA("servtec",$A$15,"sost","Estatal","Año",2022)/GETPIVOTDATA("servtec",$A$15,"sost","Estatal","Año",2021))-1)*100</f>
        <v>16.489416623644804</v>
      </c>
      <c r="H17" s="320">
        <f>GETPIVOTDATA("servtec",$A$15,"sost","Estatal","Año",2022)-GETPIVOTDATA("servtec",$A$15,"sost","Estatal","Año",2021)</f>
        <v>1597</v>
      </c>
      <c r="I17" s="332">
        <f>((GETPIVOTDATA("servtec",$A$15,"sost","Estatal","Año",2022)/GETPIVOTDATA("servtec",$A$15,"sost","Estatal","Año",2018))-1)*100</f>
        <v>-44.109779054790444</v>
      </c>
      <c r="J17" s="320">
        <f>GETPIVOTDATA("servtec",$A$15,"sost","Estatal","Año",2022)-GETPIVOTDATA("servtec",$A$15,"sost","Estatal","Año",2018)</f>
        <v>-8904</v>
      </c>
      <c r="K17" s="2"/>
      <c r="L17" s="2"/>
      <c r="M17" s="2"/>
      <c r="N17" s="2"/>
    </row>
    <row r="18" spans="1:14" hidden="1">
      <c r="A18" s="51" t="s">
        <v>1</v>
      </c>
      <c r="B18" s="50">
        <v>0</v>
      </c>
      <c r="C18" s="50">
        <v>0</v>
      </c>
      <c r="D18" s="50">
        <v>0</v>
      </c>
      <c r="E18" s="50">
        <v>0</v>
      </c>
      <c r="F18" s="50">
        <v>0</v>
      </c>
      <c r="G18" s="333"/>
      <c r="H18" s="321"/>
      <c r="I18" s="333"/>
      <c r="J18" s="321"/>
      <c r="K18" s="2"/>
      <c r="L18" s="2"/>
      <c r="M18" s="2"/>
      <c r="N18" s="2"/>
    </row>
    <row r="19" spans="1:14">
      <c r="A19" s="51" t="s">
        <v>3</v>
      </c>
      <c r="B19" s="50">
        <v>191</v>
      </c>
      <c r="C19" s="50">
        <v>167</v>
      </c>
      <c r="D19" s="50">
        <v>188</v>
      </c>
      <c r="E19" s="50">
        <v>194</v>
      </c>
      <c r="F19" s="50">
        <v>198</v>
      </c>
      <c r="G19" s="339">
        <f>((GETPIVOTDATA("servtec",$A$15,"sost","Estatal","entidad","Baja California","Año",2022)/GETPIVOTDATA("servtec",$A$15,"sost","Estatal","entidad","Baja California","Año",2021))-1)*100</f>
        <v>2.0618556701030855</v>
      </c>
      <c r="H19" s="321">
        <f>GETPIVOTDATA("servtec",$A$15,"sost","Estatal","entidad","Baja California","Año",2022)-GETPIVOTDATA("servtec",$A$15,"sost","Estatal","entidad","Baja California","Año",2021)</f>
        <v>4</v>
      </c>
      <c r="I19" s="339">
        <f>((GETPIVOTDATA("servtec",$A$15,"sost","Estatal","entidad","Baja California","Año",2022)/GETPIVOTDATA("servtec",$A$15,"sost","Estatal","entidad","Baja California","Año",2018))-1)*100</f>
        <v>3.6649214659685958</v>
      </c>
      <c r="J19" s="321">
        <f>GETPIVOTDATA("servtec",$A$15,"sost","Estatal","entidad","Baja California","Año",2022)-GETPIVOTDATA("servtec",$A$15,"sost","Estatal","entidad","Baja California","Año",2018)</f>
        <v>7</v>
      </c>
      <c r="K19" s="2"/>
      <c r="L19" s="2"/>
      <c r="M19" s="2"/>
      <c r="N19" s="2"/>
    </row>
    <row r="20" spans="1:14" hidden="1">
      <c r="A20" s="51" t="s">
        <v>4</v>
      </c>
      <c r="B20" s="50">
        <v>0</v>
      </c>
      <c r="C20" s="50">
        <v>0</v>
      </c>
      <c r="D20" s="50">
        <v>0</v>
      </c>
      <c r="E20" s="50">
        <v>0</v>
      </c>
      <c r="F20" s="50">
        <v>0</v>
      </c>
      <c r="G20" s="332"/>
      <c r="H20" s="321"/>
      <c r="I20" s="332"/>
      <c r="J20" s="321"/>
      <c r="K20" s="2"/>
      <c r="L20" s="2"/>
      <c r="M20" s="2"/>
      <c r="N20" s="2"/>
    </row>
    <row r="21" spans="1:14" hidden="1">
      <c r="A21" s="51" t="s">
        <v>5</v>
      </c>
      <c r="B21" s="50">
        <v>0</v>
      </c>
      <c r="C21" s="50">
        <v>0</v>
      </c>
      <c r="D21" s="50">
        <v>0</v>
      </c>
      <c r="E21" s="50">
        <v>0</v>
      </c>
      <c r="F21" s="50">
        <v>0</v>
      </c>
      <c r="G21" s="333"/>
      <c r="H21" s="321"/>
      <c r="I21" s="333"/>
      <c r="J21" s="321"/>
      <c r="K21" s="2"/>
      <c r="L21" s="2"/>
      <c r="M21" s="2"/>
      <c r="N21" s="2"/>
    </row>
    <row r="22" spans="1:14" hidden="1">
      <c r="A22" s="51" t="s">
        <v>6</v>
      </c>
      <c r="B22" s="50">
        <v>0</v>
      </c>
      <c r="C22" s="50">
        <v>0</v>
      </c>
      <c r="D22" s="50">
        <v>0</v>
      </c>
      <c r="E22" s="50">
        <v>0</v>
      </c>
      <c r="F22" s="50">
        <v>0</v>
      </c>
      <c r="G22" s="334"/>
      <c r="H22" s="321"/>
      <c r="I22" s="334"/>
      <c r="J22" s="321"/>
      <c r="K22" s="2"/>
      <c r="L22" s="2"/>
      <c r="M22" s="2"/>
      <c r="N22" s="2"/>
    </row>
    <row r="23" spans="1:14">
      <c r="A23" s="51" t="s">
        <v>7</v>
      </c>
      <c r="B23" s="50">
        <v>898</v>
      </c>
      <c r="C23" s="50">
        <v>442</v>
      </c>
      <c r="D23" s="50">
        <v>274</v>
      </c>
      <c r="E23" s="50">
        <v>374</v>
      </c>
      <c r="F23" s="50">
        <v>349</v>
      </c>
      <c r="G23" s="334">
        <f>((GETPIVOTDATA("servtec",$A$15,"sost","Estatal","entidad","Chihuahua","Año",2022)/GETPIVOTDATA("servtec",$A$15,"sost","Estatal","entidad","Chihuahua","Año",2021))-1)*100</f>
        <v>-6.6844919786096302</v>
      </c>
      <c r="H23" s="322">
        <f>GETPIVOTDATA("servtec",$A$15,"sost","Estatal","entidad","Chihuahua","Año",2022)-GETPIVOTDATA("servtec",$A$15,"sost","Estatal","entidad","Chihuahua","Año",2021)</f>
        <v>-25</v>
      </c>
      <c r="I23" s="334">
        <f>((GETPIVOTDATA("servtec",$A$15,"sost","Estatal","entidad","Chihuahua","Año",2022)/GETPIVOTDATA("servtec",$A$15,"sost","Estatal","entidad","Chihuahua","Año",2018))-1)*100</f>
        <v>-61.1358574610245</v>
      </c>
      <c r="J23" s="322">
        <f>GETPIVOTDATA("servtec",$A$15,"sost","Estatal","entidad","Chihuahua","Año",2022)-GETPIVOTDATA("servtec",$A$15,"sost","Estatal","entidad","Chihuahua","Año",2018)</f>
        <v>-549</v>
      </c>
      <c r="K23" s="2"/>
      <c r="L23" s="2"/>
      <c r="M23" s="2"/>
      <c r="N23" s="2"/>
    </row>
    <row r="24" spans="1:14" ht="15" hidden="1">
      <c r="A24" s="51" t="s">
        <v>31</v>
      </c>
      <c r="B24" s="50">
        <v>0</v>
      </c>
      <c r="C24" s="50">
        <v>0</v>
      </c>
      <c r="D24" s="50">
        <v>0</v>
      </c>
      <c r="E24" s="50">
        <v>0</v>
      </c>
      <c r="F24" s="50">
        <v>0</v>
      </c>
      <c r="G24" s="340"/>
      <c r="H24" s="321"/>
      <c r="I24" s="340"/>
      <c r="J24" s="321"/>
      <c r="K24" s="2"/>
      <c r="L24" s="2"/>
      <c r="M24" s="2"/>
      <c r="N24" s="2"/>
    </row>
    <row r="25" spans="1:14" ht="15" hidden="1">
      <c r="A25" s="51" t="s">
        <v>8</v>
      </c>
      <c r="B25" s="50">
        <v>0</v>
      </c>
      <c r="C25" s="50">
        <v>0</v>
      </c>
      <c r="D25" s="50">
        <v>0</v>
      </c>
      <c r="E25" s="50">
        <v>0</v>
      </c>
      <c r="F25" s="50">
        <v>0</v>
      </c>
      <c r="G25" s="340"/>
      <c r="H25" s="321"/>
      <c r="I25" s="340"/>
      <c r="J25" s="321"/>
      <c r="K25" s="2"/>
      <c r="L25" s="2"/>
      <c r="M25" s="2"/>
      <c r="N25" s="2"/>
    </row>
    <row r="26" spans="1:14" ht="15" hidden="1">
      <c r="A26" s="51" t="s">
        <v>9</v>
      </c>
      <c r="B26" s="50">
        <v>0</v>
      </c>
      <c r="C26" s="50">
        <v>0</v>
      </c>
      <c r="D26" s="50">
        <v>0</v>
      </c>
      <c r="E26" s="50">
        <v>0</v>
      </c>
      <c r="F26" s="50">
        <v>0</v>
      </c>
      <c r="G26" s="340"/>
      <c r="H26" s="321"/>
      <c r="I26" s="340"/>
      <c r="J26" s="321"/>
      <c r="K26" s="2"/>
      <c r="L26" s="2"/>
      <c r="M26" s="2"/>
      <c r="N26" s="2"/>
    </row>
    <row r="27" spans="1:14">
      <c r="A27" s="51" t="s">
        <v>10</v>
      </c>
      <c r="B27" s="50">
        <v>16429</v>
      </c>
      <c r="C27" s="50">
        <v>13361</v>
      </c>
      <c r="D27" s="50">
        <v>4101</v>
      </c>
      <c r="E27" s="50">
        <v>6553</v>
      </c>
      <c r="F27" s="50">
        <v>8068</v>
      </c>
      <c r="G27" s="339">
        <f>((GETPIVOTDATA("servtec",$A$15,"sost","Estatal","entidad","Guanajuato","Año",2022)/GETPIVOTDATA("servtec",$A$15,"sost","Estatal","entidad","Guanajuato","Año",2021))-1)*100</f>
        <v>23.11918205402106</v>
      </c>
      <c r="H27" s="321">
        <f>GETPIVOTDATA("servtec",$A$15,"sost","Estatal","entidad","Guanajuato","Año",2022)-GETPIVOTDATA("servtec",$A$15,"sost","Estatal","entidad","Guanajuato","Año",2021)</f>
        <v>1515</v>
      </c>
      <c r="I27" s="339">
        <f>((GETPIVOTDATA("servtec",$A$15,"sost","Estatal","entidad","Guanajuato","Año",2022)/GETPIVOTDATA("servtec",$A$15,"sost","Estatal","entidad","Guanajuato","Año",2018))-1)*100</f>
        <v>-50.891715868281693</v>
      </c>
      <c r="J27" s="321">
        <f>GETPIVOTDATA("servtec",$A$15,"sost","Estatal","entidad","Guanajuato","Año",2022)-GETPIVOTDATA("servtec",$A$15,"sost","Estatal","entidad","Guanajuato","Año",2018)</f>
        <v>-8361</v>
      </c>
      <c r="K27" s="2"/>
      <c r="L27" s="2"/>
      <c r="M27" s="2"/>
      <c r="N27" s="2"/>
    </row>
    <row r="28" spans="1:14" hidden="1">
      <c r="A28" s="51" t="s">
        <v>11</v>
      </c>
      <c r="B28" s="50">
        <v>0</v>
      </c>
      <c r="C28" s="50">
        <v>0</v>
      </c>
      <c r="D28" s="50">
        <v>0</v>
      </c>
      <c r="E28" s="50">
        <v>0</v>
      </c>
      <c r="F28" s="50">
        <v>0</v>
      </c>
      <c r="G28" s="332"/>
      <c r="H28" s="321"/>
      <c r="I28" s="332"/>
      <c r="J28" s="321"/>
      <c r="K28" s="2"/>
      <c r="L28" s="2"/>
      <c r="M28" s="2"/>
      <c r="N28" s="2"/>
    </row>
    <row r="29" spans="1:14" hidden="1">
      <c r="A29" s="51" t="s">
        <v>12</v>
      </c>
      <c r="B29" s="50">
        <v>0</v>
      </c>
      <c r="C29" s="50">
        <v>0</v>
      </c>
      <c r="D29" s="50">
        <v>0</v>
      </c>
      <c r="E29" s="50">
        <v>0</v>
      </c>
      <c r="F29" s="50">
        <v>0</v>
      </c>
      <c r="G29" s="333"/>
      <c r="H29" s="321"/>
      <c r="I29" s="333"/>
      <c r="J29" s="321"/>
      <c r="K29" s="2"/>
      <c r="L29" s="2"/>
      <c r="M29" s="2"/>
      <c r="N29" s="2"/>
    </row>
    <row r="30" spans="1:14">
      <c r="A30" s="51" t="s">
        <v>13</v>
      </c>
      <c r="B30" s="50">
        <v>602</v>
      </c>
      <c r="C30" s="50">
        <v>775</v>
      </c>
      <c r="D30" s="50">
        <v>802</v>
      </c>
      <c r="E30" s="50">
        <v>755</v>
      </c>
      <c r="F30" s="50">
        <v>620</v>
      </c>
      <c r="G30" s="334">
        <f>((GETPIVOTDATA("servtec",$A$15,"sost","Estatal","entidad","Jalisco","Año",2022)/GETPIVOTDATA("servtec",$A$15,"sost","Estatal","entidad","Jalisco","Año",2021))-1)*100</f>
        <v>-17.880794701986758</v>
      </c>
      <c r="H30" s="322">
        <f>GETPIVOTDATA("servtec",$A$15,"sost","Estatal","entidad","Jalisco","Año",2022)-GETPIVOTDATA("servtec",$A$15,"sost","Estatal","entidad","Jalisco","Año",2021)</f>
        <v>-135</v>
      </c>
      <c r="I30" s="334">
        <f>((GETPIVOTDATA("servtec",$A$15,"sost","Estatal","entidad","Jalisco","Año",2022)/GETPIVOTDATA("servtec",$A$15,"sost","Estatal","entidad","Jalisco","Año",2018))-1)*100</f>
        <v>2.9900332225913706</v>
      </c>
      <c r="J30" s="322">
        <f>GETPIVOTDATA("servtec",$A$15,"sost","Estatal","entidad","Jalisco","Año",2022)-GETPIVOTDATA("servtec",$A$15,"sost","Estatal","entidad","Jalisco","Año",2018)</f>
        <v>18</v>
      </c>
      <c r="K30" s="2"/>
      <c r="L30" s="2"/>
      <c r="M30" s="2"/>
      <c r="N30" s="2"/>
    </row>
    <row r="31" spans="1:14">
      <c r="A31" s="51" t="s">
        <v>14</v>
      </c>
      <c r="B31" s="50">
        <v>816</v>
      </c>
      <c r="C31" s="50">
        <v>1125</v>
      </c>
      <c r="D31" s="50">
        <v>969</v>
      </c>
      <c r="E31" s="50">
        <v>1007</v>
      </c>
      <c r="F31" s="50">
        <v>1142</v>
      </c>
      <c r="G31" s="339">
        <f>((GETPIVOTDATA("servtec",$A$15,"sost","Estatal","entidad","México","Año",2022)/GETPIVOTDATA("servtec",$A$15,"sost","Estatal","entidad","México","Año",2021))-1)*100</f>
        <v>13.406156901688181</v>
      </c>
      <c r="H31" s="321">
        <f>GETPIVOTDATA("servtec",$A$15,"sost","Estatal","entidad","México","Año",2022)-GETPIVOTDATA("servtec",$A$15,"sost","Estatal","entidad","México","Año",2021)</f>
        <v>135</v>
      </c>
      <c r="I31" s="339">
        <f>((GETPIVOTDATA("servtec",$A$15,"sost","Estatal","entidad","México","Año",2022)/GETPIVOTDATA("servtec",$A$15,"sost","Estatal","entidad","México","Año",2018))-1)*100</f>
        <v>39.95098039215685</v>
      </c>
      <c r="J31" s="321">
        <f>GETPIVOTDATA("servtec",$A$15,"sost","Estatal","entidad","México","Año",2022)-GETPIVOTDATA("servtec",$A$15,"sost","Estatal","entidad","México","Año",2018)</f>
        <v>326</v>
      </c>
      <c r="K31" s="2"/>
      <c r="L31" s="2"/>
      <c r="M31" s="2"/>
      <c r="N31" s="2"/>
    </row>
    <row r="32" spans="1:14" hidden="1">
      <c r="A32" s="51" t="s">
        <v>30</v>
      </c>
      <c r="B32" s="50">
        <v>0</v>
      </c>
      <c r="C32" s="50">
        <v>0</v>
      </c>
      <c r="D32" s="50">
        <v>0</v>
      </c>
      <c r="E32" s="50">
        <v>0</v>
      </c>
      <c r="F32" s="50">
        <v>0</v>
      </c>
      <c r="G32" s="332"/>
      <c r="H32" s="321"/>
      <c r="I32" s="332"/>
      <c r="J32" s="321"/>
      <c r="K32" s="2"/>
      <c r="L32" s="2"/>
      <c r="M32" s="2"/>
      <c r="N32" s="2"/>
    </row>
    <row r="33" spans="1:14" hidden="1">
      <c r="A33" s="51" t="s">
        <v>15</v>
      </c>
      <c r="B33" s="50">
        <v>0</v>
      </c>
      <c r="C33" s="50">
        <v>0</v>
      </c>
      <c r="D33" s="50">
        <v>0</v>
      </c>
      <c r="E33" s="50">
        <v>0</v>
      </c>
      <c r="F33" s="50">
        <v>0</v>
      </c>
      <c r="G33" s="333"/>
      <c r="H33" s="321"/>
      <c r="I33" s="333"/>
      <c r="J33" s="321"/>
      <c r="K33" s="2"/>
      <c r="L33" s="2"/>
      <c r="M33" s="2"/>
      <c r="N33" s="2"/>
    </row>
    <row r="34" spans="1:14" hidden="1">
      <c r="A34" s="51" t="s">
        <v>16</v>
      </c>
      <c r="B34" s="50">
        <v>0</v>
      </c>
      <c r="C34" s="50">
        <v>0</v>
      </c>
      <c r="D34" s="50">
        <v>0</v>
      </c>
      <c r="E34" s="50">
        <v>0</v>
      </c>
      <c r="F34" s="50">
        <v>0</v>
      </c>
      <c r="G34" s="334"/>
      <c r="H34" s="321"/>
      <c r="I34" s="334"/>
      <c r="J34" s="321"/>
      <c r="K34" s="2"/>
      <c r="L34" s="2"/>
      <c r="M34" s="2"/>
      <c r="N34" s="2"/>
    </row>
    <row r="35" spans="1:14">
      <c r="A35" s="51" t="s">
        <v>17</v>
      </c>
      <c r="B35" s="50">
        <v>426</v>
      </c>
      <c r="C35" s="50">
        <v>860</v>
      </c>
      <c r="D35" s="50">
        <v>245</v>
      </c>
      <c r="E35" s="50">
        <v>384</v>
      </c>
      <c r="F35" s="50">
        <v>442</v>
      </c>
      <c r="G35" s="334">
        <f>((GETPIVOTDATA("servtec",$A$15,"sost","Estatal","entidad","Nuevo León","Año",2022)/GETPIVOTDATA("servtec",$A$15,"sost","Estatal","entidad","Nuevo León","Año",2021))-1)*100</f>
        <v>15.104166666666675</v>
      </c>
      <c r="H35" s="322">
        <f>GETPIVOTDATA("servtec",$A$15,"sost","Estatal","entidad","Nuevo León","Año",2022)-GETPIVOTDATA("servtec",$A$15,"sost","Estatal","entidad","Nuevo León","Año",2021)</f>
        <v>58</v>
      </c>
      <c r="I35" s="334">
        <f>((GETPIVOTDATA("servtec",$A$15,"sost","Estatal","entidad","Nuevo León","Año",2022)/GETPIVOTDATA("servtec",$A$15,"sost","Estatal","entidad","Nuevo León","Año",2018))-1)*100</f>
        <v>3.7558685446009488</v>
      </c>
      <c r="J35" s="322">
        <f>GETPIVOTDATA("servtec",$A$15,"sost","Estatal","entidad","Nuevo León","Año",2022)-GETPIVOTDATA("servtec",$A$15,"sost","Estatal","entidad","Nuevo León","Año",2018)</f>
        <v>16</v>
      </c>
      <c r="K35" s="2"/>
      <c r="L35" s="2"/>
      <c r="M35" s="2"/>
      <c r="N35" s="2"/>
    </row>
    <row r="36" spans="1:14" ht="15" hidden="1">
      <c r="A36" s="51" t="s">
        <v>18</v>
      </c>
      <c r="B36" s="50">
        <v>0</v>
      </c>
      <c r="C36" s="50">
        <v>0</v>
      </c>
      <c r="D36" s="50">
        <v>0</v>
      </c>
      <c r="E36" s="50">
        <v>0</v>
      </c>
      <c r="F36" s="50">
        <v>0</v>
      </c>
      <c r="G36" s="340"/>
      <c r="H36" s="321"/>
      <c r="I36" s="340"/>
      <c r="J36" s="321"/>
      <c r="K36" s="2"/>
      <c r="L36" s="2"/>
      <c r="M36" s="2"/>
      <c r="N36" s="2"/>
    </row>
    <row r="37" spans="1:14" ht="15" hidden="1">
      <c r="A37" s="51" t="s">
        <v>29</v>
      </c>
      <c r="B37" s="50">
        <v>0</v>
      </c>
      <c r="C37" s="50">
        <v>0</v>
      </c>
      <c r="D37" s="50">
        <v>0</v>
      </c>
      <c r="E37" s="50">
        <v>0</v>
      </c>
      <c r="F37" s="50">
        <v>0</v>
      </c>
      <c r="G37" s="340"/>
      <c r="H37" s="321"/>
      <c r="I37" s="340"/>
      <c r="J37" s="321"/>
      <c r="K37" s="2"/>
      <c r="L37" s="2"/>
      <c r="M37" s="2"/>
      <c r="N37" s="2"/>
    </row>
    <row r="38" spans="1:14" ht="15" hidden="1">
      <c r="A38" s="51" t="s">
        <v>19</v>
      </c>
      <c r="B38" s="50">
        <v>0</v>
      </c>
      <c r="C38" s="50">
        <v>0</v>
      </c>
      <c r="D38" s="50">
        <v>0</v>
      </c>
      <c r="E38" s="50">
        <v>0</v>
      </c>
      <c r="F38" s="50">
        <v>0</v>
      </c>
      <c r="G38" s="340"/>
      <c r="H38" s="321"/>
      <c r="I38" s="340"/>
      <c r="J38" s="321"/>
      <c r="K38" s="2"/>
      <c r="L38" s="2"/>
      <c r="M38" s="2"/>
      <c r="N38" s="2"/>
    </row>
    <row r="39" spans="1:14" ht="15" hidden="1">
      <c r="A39" s="51" t="s">
        <v>20</v>
      </c>
      <c r="B39" s="50">
        <v>0</v>
      </c>
      <c r="C39" s="50">
        <v>0</v>
      </c>
      <c r="D39" s="50">
        <v>0</v>
      </c>
      <c r="E39" s="50">
        <v>0</v>
      </c>
      <c r="F39" s="50">
        <v>0</v>
      </c>
      <c r="G39" s="340"/>
      <c r="H39" s="321"/>
      <c r="I39" s="340"/>
      <c r="J39" s="321"/>
      <c r="K39" s="2"/>
      <c r="L39" s="2"/>
      <c r="M39" s="2"/>
      <c r="N39" s="2"/>
    </row>
    <row r="40" spans="1:14" ht="15" hidden="1">
      <c r="A40" s="51" t="s">
        <v>21</v>
      </c>
      <c r="B40" s="50">
        <v>0</v>
      </c>
      <c r="C40" s="50">
        <v>0</v>
      </c>
      <c r="D40" s="50">
        <v>0</v>
      </c>
      <c r="E40" s="50">
        <v>0</v>
      </c>
      <c r="F40" s="50">
        <v>0</v>
      </c>
      <c r="G40" s="340"/>
      <c r="H40" s="321"/>
      <c r="I40" s="340"/>
      <c r="J40" s="321"/>
      <c r="K40" s="2"/>
      <c r="L40" s="2"/>
      <c r="M40" s="2"/>
      <c r="N40" s="2"/>
    </row>
    <row r="41" spans="1:14" ht="15" hidden="1">
      <c r="A41" s="51" t="s">
        <v>22</v>
      </c>
      <c r="B41" s="50">
        <v>0</v>
      </c>
      <c r="C41" s="50">
        <v>0</v>
      </c>
      <c r="D41" s="50">
        <v>0</v>
      </c>
      <c r="E41" s="50">
        <v>0</v>
      </c>
      <c r="F41" s="50">
        <v>0</v>
      </c>
      <c r="G41" s="340"/>
      <c r="H41" s="321"/>
      <c r="I41" s="340"/>
      <c r="J41" s="321"/>
      <c r="K41" s="2"/>
      <c r="L41" s="2"/>
      <c r="M41" s="2"/>
      <c r="N41" s="2"/>
    </row>
    <row r="42" spans="1:14" ht="15" hidden="1">
      <c r="A42" s="51" t="s">
        <v>23</v>
      </c>
      <c r="B42" s="50">
        <v>0</v>
      </c>
      <c r="C42" s="50">
        <v>0</v>
      </c>
      <c r="D42" s="50">
        <v>0</v>
      </c>
      <c r="E42" s="50">
        <v>0</v>
      </c>
      <c r="F42" s="50">
        <v>0</v>
      </c>
      <c r="G42" s="340"/>
      <c r="H42" s="321"/>
      <c r="I42" s="340"/>
      <c r="J42" s="321"/>
      <c r="K42" s="2"/>
      <c r="L42" s="2"/>
      <c r="M42" s="2"/>
      <c r="N42" s="2"/>
    </row>
    <row r="43" spans="1:14">
      <c r="A43" s="51" t="s">
        <v>24</v>
      </c>
      <c r="B43" s="50">
        <v>104</v>
      </c>
      <c r="C43" s="50">
        <v>63</v>
      </c>
      <c r="D43" s="50">
        <v>23</v>
      </c>
      <c r="E43" s="50">
        <v>22</v>
      </c>
      <c r="F43" s="50">
        <v>45</v>
      </c>
      <c r="G43" s="339">
        <f>((GETPIVOTDATA("servtec",$A$15,"sost","Estatal","entidad","Tamaulipas","Año",2022)/GETPIVOTDATA("servtec",$A$15,"sost","Estatal","entidad","Tamaulipas","Año",2021))-1)*100</f>
        <v>104.54545454545455</v>
      </c>
      <c r="H43" s="321">
        <f>GETPIVOTDATA("servtec",$A$15,"sost","Estatal","entidad","Tamaulipas","Año",2022)-GETPIVOTDATA("servtec",$A$15,"sost","Estatal","entidad","Tamaulipas","Año",2021)</f>
        <v>23</v>
      </c>
      <c r="I43" s="339">
        <f>((GETPIVOTDATA("servtec",$A$15,"sost","Estatal","entidad","Tamaulipas","Año",2022)/GETPIVOTDATA("servtec",$A$15,"sost","Estatal","entidad","Tamaulipas","Año",2018))-1)*100</f>
        <v>-56.730769230769226</v>
      </c>
      <c r="J43" s="321">
        <f>GETPIVOTDATA("servtec",$A$15,"sost","Estatal","entidad","Tamaulipas","Año",2022)-GETPIVOTDATA("servtec",$A$15,"sost","Estatal","entidad","Tamaulipas","Año",2018)</f>
        <v>-59</v>
      </c>
      <c r="K43" s="2"/>
      <c r="L43" s="2"/>
      <c r="M43" s="2"/>
      <c r="N43" s="2"/>
    </row>
    <row r="44" spans="1:14" hidden="1">
      <c r="A44" s="51" t="s">
        <v>25</v>
      </c>
      <c r="B44" s="50">
        <v>0</v>
      </c>
      <c r="C44" s="50">
        <v>0</v>
      </c>
      <c r="D44" s="50">
        <v>0</v>
      </c>
      <c r="E44" s="50">
        <v>0</v>
      </c>
      <c r="F44" s="50">
        <v>0</v>
      </c>
      <c r="G44" s="332"/>
      <c r="H44" s="321"/>
      <c r="I44" s="332"/>
      <c r="J44" s="321"/>
      <c r="K44" s="2"/>
      <c r="L44" s="2"/>
      <c r="M44" s="2"/>
      <c r="N44" s="2"/>
    </row>
    <row r="45" spans="1:14">
      <c r="A45" s="51" t="s">
        <v>53</v>
      </c>
      <c r="B45" s="50">
        <v>720</v>
      </c>
      <c r="C45" s="50">
        <v>599</v>
      </c>
      <c r="D45" s="50">
        <v>236</v>
      </c>
      <c r="E45" s="50">
        <v>396</v>
      </c>
      <c r="F45" s="50">
        <v>418</v>
      </c>
      <c r="G45" s="334">
        <f>((GETPIVOTDATA("servtec",$A$15,"sost","Estatal","entidad","Veracruz llave","Año",2022)/GETPIVOTDATA("servtec",$A$15,"sost","Estatal","entidad","Veracruz llave","Año",2021))-1)*100</f>
        <v>5.555555555555558</v>
      </c>
      <c r="H45" s="322">
        <f>GETPIVOTDATA("servtec",$A$15,"sost","Estatal","entidad","Veracruz llave","Año",2022)-GETPIVOTDATA("servtec",$A$15,"sost","Estatal","entidad","Veracruz llave","Año",2021)</f>
        <v>22</v>
      </c>
      <c r="I45" s="334">
        <f>((GETPIVOTDATA("servtec",$A$15,"sost","Estatal","entidad","Veracruz llave","Año",2022)/GETPIVOTDATA("servtec",$A$15,"sost","Estatal","entidad","Veracruz llave","Año",2018))-1)*100</f>
        <v>-41.944444444444443</v>
      </c>
      <c r="J45" s="322">
        <f>GETPIVOTDATA("servtec",$A$15,"sost","Estatal","entidad","Veracruz llave","Año",2022)-GETPIVOTDATA("servtec",$A$15,"sost","Estatal","entidad","Veracruz llave","Año",2018)</f>
        <v>-302</v>
      </c>
      <c r="K45" s="2"/>
      <c r="L45" s="2"/>
      <c r="M45" s="2"/>
      <c r="N45" s="2"/>
    </row>
    <row r="46" spans="1:14" hidden="1">
      <c r="A46" s="51" t="s">
        <v>26</v>
      </c>
      <c r="B46" s="50">
        <v>0</v>
      </c>
      <c r="C46" s="50">
        <v>0</v>
      </c>
      <c r="D46" s="50">
        <v>0</v>
      </c>
      <c r="E46" s="50">
        <v>0</v>
      </c>
      <c r="F46" s="50">
        <v>0</v>
      </c>
      <c r="G46" s="334"/>
      <c r="H46" s="321"/>
      <c r="I46" s="334"/>
      <c r="J46" s="321"/>
      <c r="K46" s="2"/>
      <c r="L46" s="2"/>
      <c r="M46" s="2"/>
      <c r="N46" s="2"/>
    </row>
    <row r="47" spans="1:14" hidden="1">
      <c r="A47" s="51" t="s">
        <v>27</v>
      </c>
      <c r="B47" s="50">
        <v>0</v>
      </c>
      <c r="C47" s="50">
        <v>0</v>
      </c>
      <c r="D47" s="50">
        <v>0</v>
      </c>
      <c r="E47" s="50">
        <v>0</v>
      </c>
      <c r="F47" s="50">
        <v>0</v>
      </c>
      <c r="G47" s="339"/>
      <c r="H47" s="321"/>
      <c r="I47" s="339"/>
      <c r="J47" s="321"/>
      <c r="K47" s="2"/>
      <c r="L47" s="2"/>
      <c r="M47" s="2"/>
      <c r="N47" s="2"/>
    </row>
    <row r="48" spans="1:14" ht="15" hidden="1">
      <c r="A48" s="49" t="s">
        <v>50</v>
      </c>
      <c r="B48" s="87">
        <v>0</v>
      </c>
      <c r="C48" s="87">
        <v>0</v>
      </c>
      <c r="D48" s="87">
        <v>0</v>
      </c>
      <c r="E48" s="87">
        <v>0</v>
      </c>
      <c r="F48" s="87">
        <v>0</v>
      </c>
      <c r="G48" s="340"/>
      <c r="H48" s="323"/>
      <c r="I48" s="340"/>
      <c r="J48" s="323"/>
      <c r="K48" s="2"/>
      <c r="L48" s="2"/>
      <c r="M48" s="2"/>
      <c r="N48" s="2"/>
    </row>
    <row r="49" spans="1:14" ht="15" hidden="1">
      <c r="A49" s="51" t="s">
        <v>32</v>
      </c>
      <c r="B49" s="50">
        <v>0</v>
      </c>
      <c r="C49" s="50">
        <v>0</v>
      </c>
      <c r="D49" s="50">
        <v>0</v>
      </c>
      <c r="E49" s="50">
        <v>0</v>
      </c>
      <c r="F49" s="50">
        <v>0</v>
      </c>
      <c r="G49" s="340"/>
      <c r="H49" s="321"/>
      <c r="I49" s="340"/>
      <c r="J49" s="321"/>
      <c r="K49" s="2"/>
      <c r="L49" s="2"/>
      <c r="M49" s="2"/>
      <c r="N49" s="2"/>
    </row>
    <row r="50" spans="1:14" ht="15" hidden="1">
      <c r="A50" s="51" t="s">
        <v>28</v>
      </c>
      <c r="B50" s="50">
        <v>0</v>
      </c>
      <c r="C50" s="50">
        <v>0</v>
      </c>
      <c r="D50" s="50">
        <v>0</v>
      </c>
      <c r="E50" s="50">
        <v>0</v>
      </c>
      <c r="F50" s="50">
        <v>0</v>
      </c>
      <c r="G50" s="340"/>
      <c r="H50" s="321"/>
      <c r="I50" s="340"/>
      <c r="J50" s="321"/>
      <c r="K50" s="2"/>
      <c r="L50" s="2"/>
      <c r="M50" s="2"/>
      <c r="N50" s="2"/>
    </row>
    <row r="51" spans="1:14" ht="15" hidden="1">
      <c r="A51" s="51" t="s">
        <v>39</v>
      </c>
      <c r="B51" s="50">
        <v>0</v>
      </c>
      <c r="C51" s="50">
        <v>0</v>
      </c>
      <c r="D51" s="50">
        <v>0</v>
      </c>
      <c r="E51" s="50">
        <v>0</v>
      </c>
      <c r="F51" s="50">
        <v>0</v>
      </c>
      <c r="G51" s="340"/>
      <c r="H51" s="321"/>
      <c r="I51" s="340"/>
      <c r="J51" s="321"/>
    </row>
    <row r="52" spans="1:14" ht="15" hidden="1">
      <c r="A52" s="49" t="s">
        <v>124</v>
      </c>
      <c r="B52" s="50">
        <v>0</v>
      </c>
      <c r="C52" s="50">
        <v>0</v>
      </c>
      <c r="D52" s="50">
        <v>0</v>
      </c>
      <c r="E52" s="50">
        <v>0</v>
      </c>
      <c r="F52" s="50">
        <v>0</v>
      </c>
      <c r="G52" s="340"/>
      <c r="H52" s="323"/>
      <c r="I52" s="340"/>
      <c r="J52" s="323"/>
    </row>
    <row r="53" spans="1:14" ht="15" hidden="1">
      <c r="A53" s="51" t="s">
        <v>40</v>
      </c>
      <c r="B53" s="50">
        <v>0</v>
      </c>
      <c r="C53" s="50">
        <v>0</v>
      </c>
      <c r="D53" s="50">
        <v>0</v>
      </c>
      <c r="E53" s="50">
        <v>0</v>
      </c>
      <c r="F53" s="50">
        <v>0</v>
      </c>
      <c r="G53" s="340"/>
      <c r="H53" s="321"/>
      <c r="I53" s="340"/>
      <c r="J53" s="321"/>
    </row>
    <row r="54" spans="1:14" ht="15">
      <c r="A54" s="49" t="s">
        <v>37</v>
      </c>
      <c r="B54" s="50">
        <v>20186</v>
      </c>
      <c r="C54" s="50">
        <v>17392</v>
      </c>
      <c r="D54" s="50">
        <v>6838</v>
      </c>
      <c r="E54" s="50">
        <v>9685</v>
      </c>
      <c r="F54" s="50">
        <v>11282</v>
      </c>
      <c r="G54" s="341">
        <f>((GETPIVOTDATA("servtec",$A$15,"Año",2022)/GETPIVOTDATA("servtec",$A$15,"Año",2021))-1)*100</f>
        <v>16.489416623644804</v>
      </c>
      <c r="H54" s="329">
        <f>GETPIVOTDATA("servtec",$A$15,"Año",2022)-GETPIVOTDATA("servtec",$A$15,"Año",2021)</f>
        <v>1597</v>
      </c>
      <c r="I54" s="341">
        <f>((GETPIVOTDATA("servtec",$A$15,"Año",2022)/GETPIVOTDATA("servtec",$A$15,"Año",2018))-1)*100</f>
        <v>-44.109779054790444</v>
      </c>
      <c r="J54" s="329">
        <f>GETPIVOTDATA("servtec",$A$15,"Año",2022)-GETPIVOTDATA("servtec",$A$15,"Año",2018)</f>
        <v>-8904</v>
      </c>
    </row>
    <row r="55" spans="1:14" ht="8.1" customHeight="1"/>
    <row r="56" spans="1:14" ht="24" customHeight="1">
      <c r="A56" s="84" t="s">
        <v>275</v>
      </c>
      <c r="B56" s="85"/>
      <c r="C56" s="85"/>
      <c r="D56" s="85"/>
      <c r="E56" s="85"/>
      <c r="F56" s="85"/>
      <c r="G56" s="85"/>
      <c r="H56" s="85"/>
    </row>
  </sheetData>
  <mergeCells count="3">
    <mergeCell ref="B14:D14"/>
    <mergeCell ref="E14:G14"/>
    <mergeCell ref="A5:J5"/>
  </mergeCells>
  <printOptions horizontalCentered="1"/>
  <pageMargins left="0.70866141732283472" right="0.70866141732283472" top="0.74803149606299213" bottom="0.74803149606299213" header="0.31496062992125984" footer="0.31496062992125984"/>
  <pageSetup paperSize="9" scale="80" orientation="portrait" r:id="rId2"/>
  <drawing r:id="rId3"/>
  <tableParts count="1">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58"/>
  <sheetViews>
    <sheetView showGridLines="0" view="pageBreakPreview" topLeftCell="A47" zoomScale="120" zoomScaleNormal="120" zoomScaleSheetLayoutView="120" workbookViewId="0">
      <selection activeCell="L39" sqref="L39"/>
    </sheetView>
  </sheetViews>
  <sheetFormatPr baseColWidth="10" defaultColWidth="11.42578125" defaultRowHeight="13.5"/>
  <cols>
    <col min="1" max="1" width="23.5703125" style="48" customWidth="1"/>
    <col min="2" max="10" width="9.42578125" style="48" customWidth="1"/>
    <col min="11" max="11" width="15.140625" style="48" bestFit="1" customWidth="1"/>
    <col min="12" max="12" width="11.5703125" style="48" bestFit="1" customWidth="1"/>
    <col min="13" max="13" width="20.140625" style="48" bestFit="1" customWidth="1"/>
    <col min="14" max="14" width="16.5703125" style="48" bestFit="1" customWidth="1"/>
    <col min="15" max="16384" width="11.42578125" style="48"/>
  </cols>
  <sheetData>
    <row r="1" spans="1:17" s="273" customFormat="1" ht="15" customHeight="1">
      <c r="B1" s="1"/>
      <c r="C1" s="1"/>
      <c r="D1" s="1"/>
      <c r="F1" s="1"/>
      <c r="G1" s="1"/>
      <c r="I1" s="64"/>
      <c r="J1" s="64" t="s">
        <v>48</v>
      </c>
    </row>
    <row r="2" spans="1:17" s="273" customFormat="1" ht="15" customHeight="1">
      <c r="B2" s="1"/>
      <c r="C2" s="1"/>
      <c r="D2" s="1"/>
      <c r="F2" s="1"/>
      <c r="G2" s="1"/>
      <c r="I2" s="6"/>
      <c r="J2" s="6" t="s">
        <v>42</v>
      </c>
    </row>
    <row r="3" spans="1:17" s="273" customFormat="1" ht="12.75" customHeight="1">
      <c r="B3" s="1"/>
      <c r="C3" s="1"/>
      <c r="D3" s="1"/>
      <c r="E3" s="1"/>
      <c r="F3" s="1"/>
      <c r="G3" s="1"/>
      <c r="H3" s="63"/>
    </row>
    <row r="4" spans="1:17" s="273" customFormat="1" ht="5.25" customHeight="1">
      <c r="B4" s="1"/>
      <c r="C4" s="1"/>
      <c r="D4" s="1"/>
      <c r="E4" s="1"/>
      <c r="F4" s="1"/>
      <c r="G4" s="1"/>
      <c r="H4" s="63"/>
    </row>
    <row r="5" spans="1:17" s="273" customFormat="1" ht="15" customHeight="1">
      <c r="A5" s="367" t="s">
        <v>317</v>
      </c>
      <c r="B5" s="367"/>
      <c r="C5" s="367"/>
      <c r="D5" s="367"/>
      <c r="E5" s="367"/>
      <c r="F5" s="367"/>
      <c r="G5" s="367"/>
      <c r="H5" s="367"/>
      <c r="I5" s="367"/>
      <c r="J5" s="367"/>
    </row>
    <row r="6" spans="1:17" s="273" customFormat="1" ht="6.75" customHeight="1">
      <c r="A6" s="122"/>
      <c r="B6" s="63"/>
      <c r="C6" s="65"/>
      <c r="D6" s="65"/>
      <c r="E6" s="66"/>
      <c r="F6" s="66"/>
      <c r="G6" s="66"/>
      <c r="H6" s="66"/>
    </row>
    <row r="7" spans="1:17" s="68" customFormat="1" ht="14.1" customHeight="1">
      <c r="A7" s="76" t="s">
        <v>45</v>
      </c>
      <c r="B7" s="76" t="s">
        <v>0</v>
      </c>
      <c r="C7" s="67"/>
      <c r="D7" s="67"/>
      <c r="E7" s="63"/>
      <c r="F7" s="63"/>
      <c r="G7" s="63"/>
      <c r="H7" s="63"/>
    </row>
    <row r="8" spans="1:17" s="68" customFormat="1" ht="14.1" hidden="1" customHeight="1">
      <c r="A8" s="77">
        <v>2012</v>
      </c>
      <c r="B8" s="92">
        <f>$B$55</f>
        <v>217109</v>
      </c>
      <c r="C8" s="69"/>
      <c r="D8" s="67"/>
      <c r="E8" s="63"/>
      <c r="F8" s="63"/>
      <c r="G8" s="63"/>
      <c r="H8" s="63"/>
    </row>
    <row r="9" spans="1:17" s="68" customFormat="1" ht="14.1" customHeight="1">
      <c r="A9" s="77">
        <v>2018</v>
      </c>
      <c r="B9" s="92">
        <f>$B$55</f>
        <v>217109</v>
      </c>
      <c r="C9" s="67"/>
      <c r="D9" s="67"/>
      <c r="E9" s="63"/>
      <c r="F9" s="63"/>
      <c r="G9" s="63"/>
      <c r="H9" s="63"/>
    </row>
    <row r="10" spans="1:17" s="68" customFormat="1" ht="14.1" customHeight="1">
      <c r="A10" s="77">
        <v>2019</v>
      </c>
      <c r="B10" s="92">
        <f>$C$55</f>
        <v>235963</v>
      </c>
      <c r="C10" s="67"/>
      <c r="D10" s="67"/>
      <c r="E10" s="63"/>
      <c r="F10" s="63"/>
      <c r="G10" s="63"/>
      <c r="H10" s="63"/>
    </row>
    <row r="11" spans="1:17" s="68" customFormat="1" ht="14.1" customHeight="1">
      <c r="A11" s="77">
        <v>2020</v>
      </c>
      <c r="B11" s="92">
        <f>$D$55</f>
        <v>114862</v>
      </c>
      <c r="C11" s="67"/>
      <c r="D11" s="67"/>
      <c r="E11" s="63"/>
      <c r="F11" s="63"/>
      <c r="G11" s="63"/>
      <c r="H11" s="63"/>
      <c r="K11" s="289"/>
    </row>
    <row r="12" spans="1:17" s="68" customFormat="1" ht="14.1" customHeight="1">
      <c r="A12" s="77">
        <v>2021</v>
      </c>
      <c r="B12" s="92">
        <f>$E$55</f>
        <v>117603</v>
      </c>
      <c r="C12" s="67"/>
      <c r="D12" s="67"/>
      <c r="E12" s="63"/>
      <c r="F12" s="63"/>
      <c r="G12" s="63"/>
      <c r="H12" s="63"/>
    </row>
    <row r="13" spans="1:17" s="68" customFormat="1" ht="14.1" customHeight="1">
      <c r="A13" s="77">
        <v>2022</v>
      </c>
      <c r="B13" s="92">
        <f>$F$55</f>
        <v>100911</v>
      </c>
      <c r="C13" s="67"/>
      <c r="D13" s="67"/>
      <c r="E13" s="63"/>
      <c r="F13" s="63"/>
      <c r="G13" s="63"/>
      <c r="H13" s="63"/>
    </row>
    <row r="14" spans="1:17" s="68" customFormat="1" ht="14.1" customHeight="1">
      <c r="A14" s="79" t="s">
        <v>314</v>
      </c>
      <c r="B14" s="92">
        <f>B12-B11</f>
        <v>2741</v>
      </c>
      <c r="C14" s="67"/>
      <c r="D14" s="67"/>
      <c r="E14" s="63"/>
      <c r="F14" s="63"/>
      <c r="G14" s="63"/>
      <c r="H14" s="63"/>
    </row>
    <row r="15" spans="1:17" s="273" customFormat="1" ht="18.75">
      <c r="A15" s="71"/>
      <c r="B15" s="365"/>
      <c r="C15" s="365"/>
      <c r="D15" s="365"/>
      <c r="E15" s="366"/>
      <c r="F15" s="366"/>
      <c r="G15" s="366"/>
      <c r="H15" s="280"/>
    </row>
    <row r="16" spans="1:17" ht="15" hidden="1">
      <c r="A16" s="83" t="s">
        <v>316</v>
      </c>
      <c r="B16" s="47" t="s">
        <v>45</v>
      </c>
      <c r="G16" s="311"/>
      <c r="H16" s="311"/>
      <c r="I16" s="311"/>
      <c r="J16" s="311"/>
      <c r="K16"/>
      <c r="L16"/>
      <c r="M16"/>
      <c r="N16"/>
      <c r="O16"/>
      <c r="P16"/>
      <c r="Q16"/>
    </row>
    <row r="17" spans="1:17" ht="27">
      <c r="A17" s="47" t="s">
        <v>156</v>
      </c>
      <c r="B17" s="48">
        <v>2018</v>
      </c>
      <c r="C17" s="48">
        <v>2019</v>
      </c>
      <c r="D17" s="48">
        <v>2020</v>
      </c>
      <c r="E17" s="48">
        <v>2021</v>
      </c>
      <c r="F17" s="48">
        <v>2022</v>
      </c>
      <c r="G17" s="313" t="s">
        <v>333</v>
      </c>
      <c r="H17" s="313" t="s">
        <v>334</v>
      </c>
      <c r="I17" s="313" t="s">
        <v>333</v>
      </c>
      <c r="J17" s="313" t="s">
        <v>335</v>
      </c>
      <c r="K17"/>
      <c r="L17"/>
      <c r="M17"/>
      <c r="N17"/>
      <c r="O17"/>
      <c r="P17"/>
      <c r="Q17"/>
    </row>
    <row r="18" spans="1:17" ht="15">
      <c r="A18" s="49" t="s">
        <v>49</v>
      </c>
      <c r="B18" s="50">
        <v>203927</v>
      </c>
      <c r="C18" s="50">
        <v>227618</v>
      </c>
      <c r="D18" s="50">
        <v>110810</v>
      </c>
      <c r="E18" s="50">
        <v>114002</v>
      </c>
      <c r="F18" s="50">
        <v>94498</v>
      </c>
      <c r="G18" s="332">
        <f>((GETPIVOTDATA("evaluacion",$A$16,"sost","Estatal","Año",2022)/GETPIVOTDATA("evaluacion",$A$16,"sost","Estatal","Año",2021))-1)*100</f>
        <v>-17.108471781196823</v>
      </c>
      <c r="H18" s="320">
        <f>GETPIVOTDATA("evaluacion",$A$16,"sost","Estatal","Año",2022)-GETPIVOTDATA("evaluacion",$A$16,"sost","Estatal","Año",2021)</f>
        <v>-19504</v>
      </c>
      <c r="I18" s="332">
        <f>((GETPIVOTDATA("evaluacion",$A$16,"sost","Estatal","Año",2022)/GETPIVOTDATA("evaluacion",$A$16,"sost","Estatal","Año",2018))-1)*100</f>
        <v>-53.660868840320305</v>
      </c>
      <c r="J18" s="320">
        <f>GETPIVOTDATA("evaluacion",$A$16,"sost","Estatal","Año",2022)-GETPIVOTDATA("evaluacion",$A$16,"sost","Estatal","Año",2018)</f>
        <v>-109429</v>
      </c>
      <c r="K18"/>
      <c r="L18"/>
      <c r="M18"/>
      <c r="N18"/>
      <c r="O18"/>
      <c r="P18"/>
      <c r="Q18"/>
    </row>
    <row r="19" spans="1:17" ht="15">
      <c r="A19" s="51" t="s">
        <v>1</v>
      </c>
      <c r="B19" s="50">
        <v>1732</v>
      </c>
      <c r="C19" s="50">
        <v>928</v>
      </c>
      <c r="D19" s="50">
        <v>1050</v>
      </c>
      <c r="E19" s="50">
        <v>2428</v>
      </c>
      <c r="F19" s="50">
        <v>3415</v>
      </c>
      <c r="G19" s="306">
        <f>((GETPIVOTDATA("evaluacion",$A$16,"sost","Estatal","entidad","Aguascalientes","Año",2022)/GETPIVOTDATA("evaluacion",$A$16,"sost","Estatal","entidad","Aguascalientes","Año",2021))-1)*100</f>
        <v>40.650741350906095</v>
      </c>
      <c r="H19" s="321">
        <f>GETPIVOTDATA("evaluacion",$A$16,"sost","Estatal","entidad","Aguascalientes","Año",2022)-GETPIVOTDATA("evaluacion",$A$16,"sost","Estatal","entidad","Aguascalientes","Año",2021)</f>
        <v>987</v>
      </c>
      <c r="I19" s="306">
        <f>((GETPIVOTDATA("evaluacion",$A$16,"sost","Estatal","entidad","Aguascalientes","Año",2022)/GETPIVOTDATA("evaluacion",$A$16,"sost","Estatal","entidad","Aguascalientes","Año",2018))-1)*100</f>
        <v>97.170900692840647</v>
      </c>
      <c r="J19" s="321">
        <f>GETPIVOTDATA("evaluacion",$A$16,"sost","Estatal","entidad","Aguascalientes","Año",2022)-GETPIVOTDATA("evaluacion",$A$16,"sost","Estatal","entidad","Aguascalientes","Año",2018)</f>
        <v>1683</v>
      </c>
      <c r="K19"/>
      <c r="L19"/>
      <c r="M19"/>
      <c r="N19"/>
      <c r="O19"/>
      <c r="P19"/>
      <c r="Q19"/>
    </row>
    <row r="20" spans="1:17" ht="15">
      <c r="A20" s="51" t="s">
        <v>3</v>
      </c>
      <c r="B20" s="50">
        <v>68</v>
      </c>
      <c r="C20" s="50">
        <v>4087</v>
      </c>
      <c r="D20" s="50">
        <v>2667</v>
      </c>
      <c r="E20" s="50">
        <v>1137</v>
      </c>
      <c r="F20" s="50">
        <v>1833</v>
      </c>
      <c r="G20" s="307">
        <f>((GETPIVOTDATA("evaluacion",$A$16,"sost","Estatal","entidad","Baja California","Año",2022)/GETPIVOTDATA("evaluacion",$A$16,"sost","Estatal","entidad","Baja California","Año",2021))-1)*100</f>
        <v>61.213720316622691</v>
      </c>
      <c r="H20" s="322">
        <f>GETPIVOTDATA("evaluacion",$A$16,"sost","Estatal","entidad","Baja California","Año",2022)-GETPIVOTDATA("evaluacion",$A$16,"sost","Estatal","entidad","Baja California","Año",2021)</f>
        <v>696</v>
      </c>
      <c r="I20" s="307">
        <f>((GETPIVOTDATA("evaluacion",$A$16,"sost","Estatal","entidad","Baja California","Año",2022)/GETPIVOTDATA("evaluacion",$A$16,"sost","Estatal","entidad","Baja California","Año",2018))-1)*100</f>
        <v>2595.5882352941176</v>
      </c>
      <c r="J20" s="322">
        <f>GETPIVOTDATA("evaluacion",$A$16,"sost","Estatal","entidad","Baja California","Año",2022)-GETPIVOTDATA("evaluacion",$A$16,"sost","Estatal","entidad","Baja California","Año",2018)</f>
        <v>1765</v>
      </c>
      <c r="K20"/>
      <c r="L20"/>
      <c r="M20"/>
      <c r="N20"/>
      <c r="O20"/>
      <c r="P20"/>
      <c r="Q20"/>
    </row>
    <row r="21" spans="1:17" ht="15">
      <c r="A21" s="51" t="s">
        <v>4</v>
      </c>
      <c r="B21" s="50">
        <v>28</v>
      </c>
      <c r="C21" s="50">
        <v>1</v>
      </c>
      <c r="D21" s="50">
        <v>15</v>
      </c>
      <c r="E21" s="50">
        <v>0</v>
      </c>
      <c r="F21" s="50">
        <v>0</v>
      </c>
      <c r="G21" s="306">
        <v>0</v>
      </c>
      <c r="H21" s="321">
        <f>GETPIVOTDATA("evaluacion",$A$16,"sost","Estatal","entidad","Baja California Sur","Año",2022)-GETPIVOTDATA("evaluacion",$A$16,"sost","Estatal","entidad","Baja California Sur","Año",2021)</f>
        <v>0</v>
      </c>
      <c r="I21" s="306">
        <v>0</v>
      </c>
      <c r="J21" s="321">
        <f>GETPIVOTDATA("evaluacion",$A$16,"sost","Estatal","entidad","Baja California Sur","Año",2022)-GETPIVOTDATA("evaluacion",$A$16,"sost","Estatal","entidad","Baja California Sur","Año",2018)</f>
        <v>-28</v>
      </c>
      <c r="K21"/>
      <c r="L21"/>
      <c r="M21"/>
      <c r="N21"/>
      <c r="O21"/>
      <c r="P21"/>
      <c r="Q21"/>
    </row>
    <row r="22" spans="1:17" ht="15">
      <c r="A22" s="51" t="s">
        <v>5</v>
      </c>
      <c r="B22" s="50">
        <v>610</v>
      </c>
      <c r="C22" s="50">
        <v>2167</v>
      </c>
      <c r="D22" s="50">
        <v>160</v>
      </c>
      <c r="E22" s="50">
        <v>794</v>
      </c>
      <c r="F22" s="50">
        <v>300</v>
      </c>
      <c r="G22" s="307">
        <f>((GETPIVOTDATA("evaluacion",$A$16,"sost","Estatal","entidad","Campeche","Año",2022)/GETPIVOTDATA("evaluacion",$A$16,"sost","Estatal","entidad","Campeche","Año",2021))-1)*100</f>
        <v>-62.216624685138534</v>
      </c>
      <c r="H22" s="322">
        <f>GETPIVOTDATA("evaluacion",$A$16,"sost","Estatal","entidad","Campeche","Año",2022)-GETPIVOTDATA("evaluacion",$A$16,"sost","Estatal","entidad","Campeche","Año",2021)</f>
        <v>-494</v>
      </c>
      <c r="I22" s="307">
        <f>((GETPIVOTDATA("evaluacion",$A$16,"sost","Estatal","entidad","Campeche","Año",2022)/GETPIVOTDATA("evaluacion",$A$16,"sost","Estatal","entidad","Campeche","Año",2018))-1)*100</f>
        <v>-50.819672131147541</v>
      </c>
      <c r="J22" s="322">
        <f>GETPIVOTDATA("evaluacion",$A$16,"sost","Estatal","entidad","Campeche","Año",2022)-GETPIVOTDATA("evaluacion",$A$16,"sost","Estatal","entidad","Campeche","Año",2018)</f>
        <v>-310</v>
      </c>
      <c r="K22"/>
      <c r="L22"/>
      <c r="M22"/>
      <c r="N22"/>
      <c r="O22"/>
      <c r="P22"/>
      <c r="Q22"/>
    </row>
    <row r="23" spans="1:17" ht="15">
      <c r="A23" s="51" t="s">
        <v>6</v>
      </c>
      <c r="B23" s="50">
        <v>104</v>
      </c>
      <c r="C23" s="50">
        <v>1643</v>
      </c>
      <c r="D23" s="50">
        <v>227</v>
      </c>
      <c r="E23" s="50">
        <v>543</v>
      </c>
      <c r="F23" s="50">
        <v>961</v>
      </c>
      <c r="G23" s="306">
        <f>((GETPIVOTDATA("evaluacion",$A$16,"sost","Estatal","entidad","Chiapas","Año",2022)/GETPIVOTDATA("evaluacion",$A$16,"sost","Estatal","entidad","Chiapas","Año",2021))-1)*100</f>
        <v>76.979742173112342</v>
      </c>
      <c r="H23" s="321">
        <f>GETPIVOTDATA("evaluacion",$A$16,"sost","Estatal","entidad","Chiapas","Año",2022)-GETPIVOTDATA("evaluacion",$A$16,"sost","Estatal","entidad","Chiapas","Año",2021)</f>
        <v>418</v>
      </c>
      <c r="I23" s="306">
        <f>((GETPIVOTDATA("evaluacion",$A$16,"sost","Estatal","entidad","Chiapas","Año",2022)/GETPIVOTDATA("evaluacion",$A$16,"sost","Estatal","entidad","Chiapas","Año",2018))-1)*100</f>
        <v>824.03846153846155</v>
      </c>
      <c r="J23" s="321">
        <f>GETPIVOTDATA("evaluacion",$A$16,"sost","Estatal","entidad","Chiapas","Año",2022)-GETPIVOTDATA("evaluacion",$A$16,"sost","Estatal","entidad","Chiapas","Año",2018)</f>
        <v>857</v>
      </c>
      <c r="K23"/>
      <c r="L23"/>
      <c r="M23"/>
      <c r="N23"/>
      <c r="O23"/>
      <c r="P23"/>
      <c r="Q23"/>
    </row>
    <row r="24" spans="1:17" ht="15">
      <c r="A24" s="51" t="s">
        <v>7</v>
      </c>
      <c r="B24" s="50">
        <v>767</v>
      </c>
      <c r="C24" s="50">
        <v>1495</v>
      </c>
      <c r="D24" s="50">
        <v>274</v>
      </c>
      <c r="E24" s="50">
        <v>174</v>
      </c>
      <c r="F24" s="50">
        <v>39</v>
      </c>
      <c r="G24" s="307">
        <f>((GETPIVOTDATA("evaluacion",$A$16,"sost","Estatal","entidad","Chihuahua","Año",2022)/GETPIVOTDATA("evaluacion",$A$16,"sost","Estatal","entidad","Chihuahua","Año",2021))-1)*100</f>
        <v>-77.58620689655173</v>
      </c>
      <c r="H24" s="322">
        <f>GETPIVOTDATA("evaluacion",$A$16,"sost","Estatal","entidad","Chihuahua","Año",2022)-GETPIVOTDATA("evaluacion",$A$16,"sost","Estatal","entidad","Chihuahua","Año",2021)</f>
        <v>-135</v>
      </c>
      <c r="I24" s="307">
        <f>((GETPIVOTDATA("evaluacion",$A$16,"sost","Estatal","entidad","Chihuahua","Año",2022)/GETPIVOTDATA("evaluacion",$A$16,"sost","Estatal","entidad","Chihuahua","Año",2018))-1)*100</f>
        <v>-94.915254237288138</v>
      </c>
      <c r="J24" s="322">
        <f>GETPIVOTDATA("evaluacion",$A$16,"sost","Estatal","entidad","Chihuahua","Año",2022)-GETPIVOTDATA("evaluacion",$A$16,"sost","Estatal","entidad","Chihuahua","Año",2018)</f>
        <v>-728</v>
      </c>
      <c r="K24"/>
      <c r="L24"/>
      <c r="M24"/>
      <c r="N24"/>
      <c r="O24"/>
      <c r="P24"/>
      <c r="Q24"/>
    </row>
    <row r="25" spans="1:17" ht="15">
      <c r="A25" s="51" t="s">
        <v>31</v>
      </c>
      <c r="B25" s="50">
        <v>357</v>
      </c>
      <c r="C25" s="50">
        <v>703</v>
      </c>
      <c r="D25" s="50">
        <v>252</v>
      </c>
      <c r="E25" s="50">
        <v>37</v>
      </c>
      <c r="F25" s="50">
        <v>52</v>
      </c>
      <c r="G25" s="306">
        <f>((GETPIVOTDATA("evaluacion",$A$16,"sost","Estatal","entidad","Coahuila de Zaragoza","Año",2022)/GETPIVOTDATA("evaluacion",$A$16,"sost","Estatal","entidad","Coahuila de Zaragoza","Año",2021))-1)*100</f>
        <v>40.540540540540547</v>
      </c>
      <c r="H25" s="321">
        <f>GETPIVOTDATA("evaluacion",$A$16,"sost","Estatal","entidad","Coahuila de Zaragoza","Año",2022)-GETPIVOTDATA("evaluacion",$A$16,"sost","Estatal","entidad","Coahuila de Zaragoza","Año",2021)</f>
        <v>15</v>
      </c>
      <c r="I25" s="306">
        <f>((GETPIVOTDATA("evaluacion",$A$16,"sost","Estatal","entidad","Coahuila de Zaragoza","Año",2022)/GETPIVOTDATA("evaluacion",$A$16,"sost","Estatal","entidad","Coahuila de Zaragoza","Año",2018))-1)*100</f>
        <v>-85.434173669467782</v>
      </c>
      <c r="J25" s="321">
        <f>GETPIVOTDATA("evaluacion",$A$16,"sost","Estatal","entidad","Coahuila de Zaragoza","Año",2022)-GETPIVOTDATA("evaluacion",$A$16,"sost","Estatal","entidad","Coahuila de Zaragoza","Año",2018)</f>
        <v>-305</v>
      </c>
      <c r="K25"/>
      <c r="L25"/>
      <c r="M25"/>
      <c r="N25"/>
      <c r="O25"/>
      <c r="P25"/>
      <c r="Q25"/>
    </row>
    <row r="26" spans="1:17" ht="15">
      <c r="A26" s="51" t="s">
        <v>8</v>
      </c>
      <c r="B26" s="50">
        <v>217</v>
      </c>
      <c r="C26" s="50">
        <v>512</v>
      </c>
      <c r="D26" s="50">
        <v>29</v>
      </c>
      <c r="E26" s="50">
        <v>15</v>
      </c>
      <c r="F26" s="50">
        <v>114</v>
      </c>
      <c r="G26" s="307">
        <f>((GETPIVOTDATA("evaluacion",$A$16,"sost","Estatal","entidad","Colima","Año",2022)/GETPIVOTDATA("evaluacion",$A$16,"sost","Estatal","entidad","Colima","Año",2021))-1)*100</f>
        <v>660</v>
      </c>
      <c r="H26" s="322">
        <f>GETPIVOTDATA("evaluacion",$A$16,"sost","Estatal","entidad","Colima","Año",2022)-GETPIVOTDATA("evaluacion",$A$16,"sost","Estatal","entidad","Colima","Año",2021)</f>
        <v>99</v>
      </c>
      <c r="I26" s="307">
        <f>((GETPIVOTDATA("evaluacion",$A$16,"sost","Estatal","entidad","Colima","Año",2022)/GETPIVOTDATA("evaluacion",$A$16,"sost","Estatal","entidad","Colima","Año",2018))-1)*100</f>
        <v>-47.465437788018441</v>
      </c>
      <c r="J26" s="322">
        <f>GETPIVOTDATA("evaluacion",$A$16,"sost","Estatal","entidad","Colima","Año",2022)-GETPIVOTDATA("evaluacion",$A$16,"sost","Estatal","entidad","Colima","Año",2018)</f>
        <v>-103</v>
      </c>
      <c r="K26"/>
      <c r="L26"/>
      <c r="M26"/>
      <c r="N26"/>
      <c r="O26"/>
      <c r="P26"/>
      <c r="Q26"/>
    </row>
    <row r="27" spans="1:17" ht="15">
      <c r="A27" s="51" t="s">
        <v>9</v>
      </c>
      <c r="B27" s="50">
        <v>275</v>
      </c>
      <c r="C27" s="50">
        <v>182</v>
      </c>
      <c r="D27" s="50">
        <v>269</v>
      </c>
      <c r="E27" s="50">
        <v>26</v>
      </c>
      <c r="F27" s="50">
        <v>166</v>
      </c>
      <c r="G27" s="306">
        <f>((GETPIVOTDATA("evaluacion",$A$16,"sost","Estatal","entidad","Durango","Año",2022)/GETPIVOTDATA("evaluacion",$A$16,"sost","Estatal","entidad","Durango","Año",2021))-1)*100</f>
        <v>538.46153846153845</v>
      </c>
      <c r="H27" s="321">
        <f>GETPIVOTDATA("evaluacion",$A$16,"sost","Estatal","entidad","Durango","Año",2022)-GETPIVOTDATA("evaluacion",$A$16,"sost","Estatal","entidad","Durango","Año",2021)</f>
        <v>140</v>
      </c>
      <c r="I27" s="306">
        <f>((GETPIVOTDATA("evaluacion",$A$16,"sost","Estatal","entidad","Durango","Año",2022)/GETPIVOTDATA("evaluacion",$A$16,"sost","Estatal","entidad","Durango","Año",2018))-1)*100</f>
        <v>-39.636363636363633</v>
      </c>
      <c r="J27" s="321">
        <f>GETPIVOTDATA("evaluacion",$A$16,"sost","Estatal","entidad","Durango","Año",2022)-GETPIVOTDATA("evaluacion",$A$16,"sost","Estatal","entidad","Durango","Año",2018)</f>
        <v>-109</v>
      </c>
      <c r="K27"/>
      <c r="L27"/>
      <c r="M27"/>
      <c r="N27"/>
      <c r="O27"/>
      <c r="P27"/>
      <c r="Q27"/>
    </row>
    <row r="28" spans="1:17" ht="15">
      <c r="A28" s="51" t="s">
        <v>10</v>
      </c>
      <c r="B28" s="50">
        <v>8414</v>
      </c>
      <c r="C28" s="50">
        <v>2447</v>
      </c>
      <c r="D28" s="50">
        <v>184</v>
      </c>
      <c r="E28" s="50">
        <v>119</v>
      </c>
      <c r="F28" s="50">
        <v>345</v>
      </c>
      <c r="G28" s="307">
        <f>((GETPIVOTDATA("evaluacion",$A$16,"sost","Estatal","entidad","Guanajuato","Año",2022)/GETPIVOTDATA("evaluacion",$A$16,"sost","Estatal","entidad","Guanajuato","Año",2021))-1)*100</f>
        <v>189.9159663865546</v>
      </c>
      <c r="H28" s="322">
        <f>GETPIVOTDATA("evaluacion",$A$16,"sost","Estatal","entidad","Guanajuato","Año",2022)-GETPIVOTDATA("evaluacion",$A$16,"sost","Estatal","entidad","Guanajuato","Año",2021)</f>
        <v>226</v>
      </c>
      <c r="I28" s="307">
        <f>((GETPIVOTDATA("evaluacion",$A$16,"sost","Estatal","entidad","Guanajuato","Año",2022)/GETPIVOTDATA("evaluacion",$A$16,"sost","Estatal","entidad","Guanajuato","Año",2018))-1)*100</f>
        <v>-95.899690991205134</v>
      </c>
      <c r="J28" s="322">
        <f>GETPIVOTDATA("evaluacion",$A$16,"sost","Estatal","entidad","Guanajuato","Año",2022)-GETPIVOTDATA("evaluacion",$A$16,"sost","Estatal","entidad","Guanajuato","Año",2018)</f>
        <v>-8069</v>
      </c>
      <c r="K28"/>
      <c r="L28"/>
      <c r="M28"/>
      <c r="N28"/>
      <c r="O28"/>
      <c r="P28"/>
      <c r="Q28"/>
    </row>
    <row r="29" spans="1:17" ht="15">
      <c r="A29" s="51" t="s">
        <v>11</v>
      </c>
      <c r="B29" s="50">
        <v>1289</v>
      </c>
      <c r="C29" s="50">
        <v>1633</v>
      </c>
      <c r="D29" s="50">
        <v>232</v>
      </c>
      <c r="E29" s="50">
        <v>20</v>
      </c>
      <c r="F29" s="50">
        <v>168</v>
      </c>
      <c r="G29" s="306">
        <f>((GETPIVOTDATA("evaluacion",$A$16,"sost","Estatal","entidad","Guerrero","Año",2022)/GETPIVOTDATA("evaluacion",$A$16,"sost","Estatal","entidad","Guerrero","Año",2021))-1)*100</f>
        <v>740</v>
      </c>
      <c r="H29" s="321">
        <f>GETPIVOTDATA("evaluacion",$A$16,"sost","Estatal","entidad","Guerrero","Año",2022)-GETPIVOTDATA("evaluacion",$A$16,"sost","Estatal","entidad","Guerrero","Año",2021)</f>
        <v>148</v>
      </c>
      <c r="I29" s="306">
        <f>((GETPIVOTDATA("evaluacion",$A$16,"sost","Estatal","entidad","Guerrero","Año",2022)/GETPIVOTDATA("evaluacion",$A$16,"sost","Estatal","entidad","Guerrero","Año",2018))-1)*100</f>
        <v>-86.966640806827002</v>
      </c>
      <c r="J29" s="321">
        <f>GETPIVOTDATA("evaluacion",$A$16,"sost","Estatal","entidad","Guerrero","Año",2022)-GETPIVOTDATA("evaluacion",$A$16,"sost","Estatal","entidad","Guerrero","Año",2018)</f>
        <v>-1121</v>
      </c>
      <c r="K29"/>
      <c r="L29"/>
      <c r="M29"/>
      <c r="N29"/>
      <c r="O29"/>
      <c r="P29"/>
      <c r="Q29"/>
    </row>
    <row r="30" spans="1:17" ht="15">
      <c r="A30" s="51" t="s">
        <v>12</v>
      </c>
      <c r="B30" s="50">
        <v>126</v>
      </c>
      <c r="C30" s="50">
        <v>603</v>
      </c>
      <c r="D30" s="50">
        <v>98</v>
      </c>
      <c r="E30" s="50">
        <v>79</v>
      </c>
      <c r="F30" s="50">
        <v>298</v>
      </c>
      <c r="G30" s="307">
        <f>((GETPIVOTDATA("evaluacion",$A$16,"sost","Estatal","entidad","Hidalgo","Año",2022)/GETPIVOTDATA("evaluacion",$A$16,"sost","Estatal","entidad","Hidalgo","Año",2021))-1)*100</f>
        <v>277.21518987341773</v>
      </c>
      <c r="H30" s="322">
        <f>GETPIVOTDATA("evaluacion",$A$16,"sost","Estatal","entidad","Hidalgo","Año",2022)-GETPIVOTDATA("evaluacion",$A$16,"sost","Estatal","entidad","Hidalgo","Año",2021)</f>
        <v>219</v>
      </c>
      <c r="I30" s="307">
        <f>((GETPIVOTDATA("evaluacion",$A$16,"sost","Estatal","entidad","Hidalgo","Año",2022)/GETPIVOTDATA("evaluacion",$A$16,"sost","Estatal","entidad","Hidalgo","Año",2018))-1)*100</f>
        <v>136.50793650793651</v>
      </c>
      <c r="J30" s="322">
        <f>GETPIVOTDATA("evaluacion",$A$16,"sost","Estatal","entidad","Hidalgo","Año",2022)-GETPIVOTDATA("evaluacion",$A$16,"sost","Estatal","entidad","Hidalgo","Año",2018)</f>
        <v>172</v>
      </c>
      <c r="K30"/>
      <c r="L30"/>
      <c r="M30"/>
      <c r="N30"/>
      <c r="O30"/>
      <c r="P30"/>
      <c r="Q30"/>
    </row>
    <row r="31" spans="1:17" ht="15">
      <c r="A31" s="51" t="s">
        <v>13</v>
      </c>
      <c r="B31" s="50">
        <v>236</v>
      </c>
      <c r="C31" s="50">
        <v>977</v>
      </c>
      <c r="D31" s="50">
        <v>296</v>
      </c>
      <c r="E31" s="50">
        <v>306</v>
      </c>
      <c r="F31" s="50">
        <v>827</v>
      </c>
      <c r="G31" s="306">
        <f>((GETPIVOTDATA("evaluacion",$A$16,"sost","Estatal","entidad","Jalisco","Año",2022)/GETPIVOTDATA("evaluacion",$A$16,"sost","Estatal","entidad","Jalisco","Año",2021))-1)*100</f>
        <v>170.26143790849676</v>
      </c>
      <c r="H31" s="321">
        <f>GETPIVOTDATA("evaluacion",$A$16,"sost","Estatal","entidad","Jalisco","Año",2022)-GETPIVOTDATA("evaluacion",$A$16,"sost","Estatal","entidad","Jalisco","Año",2021)</f>
        <v>521</v>
      </c>
      <c r="I31" s="306">
        <f>((GETPIVOTDATA("evaluacion",$A$16,"sost","Estatal","entidad","Jalisco","Año",2022)/GETPIVOTDATA("evaluacion",$A$16,"sost","Estatal","entidad","Jalisco","Año",2018))-1)*100</f>
        <v>250.42372881355934</v>
      </c>
      <c r="J31" s="321">
        <f>GETPIVOTDATA("evaluacion",$A$16,"sost","Estatal","entidad","Jalisco","Año",2022)-GETPIVOTDATA("evaluacion",$A$16,"sost","Estatal","entidad","Jalisco","Año",2018)</f>
        <v>591</v>
      </c>
      <c r="K31"/>
      <c r="L31"/>
      <c r="M31"/>
      <c r="N31"/>
      <c r="O31"/>
      <c r="P31"/>
      <c r="Q31"/>
    </row>
    <row r="32" spans="1:17" ht="15">
      <c r="A32" s="51" t="s">
        <v>14</v>
      </c>
      <c r="B32" s="50">
        <v>78681</v>
      </c>
      <c r="C32" s="50">
        <v>66599</v>
      </c>
      <c r="D32" s="50">
        <v>27394</v>
      </c>
      <c r="E32" s="50">
        <v>2732</v>
      </c>
      <c r="F32" s="50">
        <v>46072</v>
      </c>
      <c r="G32" s="307">
        <f>((GETPIVOTDATA("evaluacion",$A$16,"sost","Estatal","entidad","México","Año",2022)/GETPIVOTDATA("evaluacion",$A$16,"sost","Estatal","entidad","México","Año",2021))-1)*100</f>
        <v>1586.3836017569547</v>
      </c>
      <c r="H32" s="322">
        <f>GETPIVOTDATA("evaluacion",$A$16,"sost","Estatal","entidad","México","Año",2022)-GETPIVOTDATA("evaluacion",$A$16,"sost","Estatal","entidad","México","Año",2021)</f>
        <v>43340</v>
      </c>
      <c r="I32" s="307">
        <f>((GETPIVOTDATA("evaluacion",$A$16,"sost","Estatal","entidad","México","Año",2022)/GETPIVOTDATA("evaluacion",$A$16,"sost","Estatal","entidad","México","Año",2018))-1)*100</f>
        <v>-41.444567303415056</v>
      </c>
      <c r="J32" s="322">
        <f>GETPIVOTDATA("evaluacion",$A$16,"sost","Estatal","entidad","México","Año",2022)-GETPIVOTDATA("evaluacion",$A$16,"sost","Estatal","entidad","México","Año",2018)</f>
        <v>-32609</v>
      </c>
      <c r="K32"/>
      <c r="L32"/>
      <c r="M32"/>
      <c r="N32"/>
      <c r="O32"/>
      <c r="P32"/>
      <c r="Q32"/>
    </row>
    <row r="33" spans="1:17" ht="15">
      <c r="A33" s="51" t="s">
        <v>30</v>
      </c>
      <c r="B33" s="50">
        <v>11720</v>
      </c>
      <c r="C33" s="50">
        <v>20137</v>
      </c>
      <c r="D33" s="50">
        <v>11171</v>
      </c>
      <c r="E33" s="50">
        <v>6080</v>
      </c>
      <c r="F33" s="50">
        <v>10274</v>
      </c>
      <c r="G33" s="306">
        <f>((GETPIVOTDATA("evaluacion",$A$16,"sost","Estatal","entidad","Michoacán de Ocampo","Año",2022)/GETPIVOTDATA("evaluacion",$A$16,"sost","Estatal","entidad","Michoacán de Ocampo","Año",2021))-1)*100</f>
        <v>68.98026315789474</v>
      </c>
      <c r="H33" s="321">
        <f>GETPIVOTDATA("evaluacion",$A$16,"sost","Estatal","entidad","Michoacán de Ocampo","Año",2022)-GETPIVOTDATA("evaluacion",$A$16,"sost","Estatal","entidad","Michoacán de Ocampo","Año",2021)</f>
        <v>4194</v>
      </c>
      <c r="I33" s="306">
        <f>((GETPIVOTDATA("evaluacion",$A$16,"sost","Estatal","entidad","Michoacán de Ocampo","Año",2022)/GETPIVOTDATA("evaluacion",$A$16,"sost","Estatal","entidad","Michoacán de Ocampo","Año",2018))-1)*100</f>
        <v>-12.337883959044371</v>
      </c>
      <c r="J33" s="321">
        <f>GETPIVOTDATA("evaluacion",$A$16,"sost","Estatal","entidad","Michoacán de Ocampo","Año",2022)-GETPIVOTDATA("evaluacion",$A$16,"sost","Estatal","entidad","Michoacán de Ocampo","Año",2018)</f>
        <v>-1446</v>
      </c>
      <c r="K33"/>
      <c r="L33"/>
      <c r="M33"/>
      <c r="N33"/>
      <c r="O33"/>
      <c r="P33"/>
      <c r="Q33"/>
    </row>
    <row r="34" spans="1:17" ht="15">
      <c r="A34" s="51" t="s">
        <v>15</v>
      </c>
      <c r="B34" s="50">
        <v>1887</v>
      </c>
      <c r="C34" s="50">
        <v>1410</v>
      </c>
      <c r="D34" s="50">
        <v>1665</v>
      </c>
      <c r="E34" s="50">
        <v>991</v>
      </c>
      <c r="F34" s="50">
        <v>725</v>
      </c>
      <c r="G34" s="307">
        <f>((GETPIVOTDATA("evaluacion",$A$16,"sost","Estatal","entidad","Morelos","Año",2022)/GETPIVOTDATA("evaluacion",$A$16,"sost","Estatal","entidad","Morelos","Año",2021))-1)*100</f>
        <v>-26.841574167507567</v>
      </c>
      <c r="H34" s="322">
        <f>GETPIVOTDATA("evaluacion",$A$16,"sost","Estatal","entidad","Morelos","Año",2022)-GETPIVOTDATA("evaluacion",$A$16,"sost","Estatal","entidad","Morelos","Año",2021)</f>
        <v>-266</v>
      </c>
      <c r="I34" s="307">
        <f>((GETPIVOTDATA("evaluacion",$A$16,"sost","Estatal","entidad","Morelos","Año",2022)/GETPIVOTDATA("evaluacion",$A$16,"sost","Estatal","entidad","Morelos","Año",2018))-1)*100</f>
        <v>-61.579226285108632</v>
      </c>
      <c r="J34" s="322">
        <f>GETPIVOTDATA("evaluacion",$A$16,"sost","Estatal","entidad","Morelos","Año",2022)-GETPIVOTDATA("evaluacion",$A$16,"sost","Estatal","entidad","Morelos","Año",2018)</f>
        <v>-1162</v>
      </c>
      <c r="K34"/>
      <c r="L34"/>
      <c r="M34"/>
      <c r="N34"/>
      <c r="O34"/>
      <c r="P34"/>
      <c r="Q34"/>
    </row>
    <row r="35" spans="1:17" ht="15">
      <c r="A35" s="51" t="s">
        <v>16</v>
      </c>
      <c r="B35" s="50">
        <v>2</v>
      </c>
      <c r="C35" s="50">
        <v>1132</v>
      </c>
      <c r="D35" s="50">
        <v>53</v>
      </c>
      <c r="E35" s="50">
        <v>0</v>
      </c>
      <c r="F35" s="50">
        <v>0</v>
      </c>
      <c r="G35" s="306">
        <v>0</v>
      </c>
      <c r="H35" s="321">
        <f>GETPIVOTDATA("evaluacion",$A$16,"sost","Estatal","entidad","Nayarit","Año",2022)-GETPIVOTDATA("evaluacion",$A$16,"sost","Estatal","entidad","Nayarit","Año",2021)</f>
        <v>0</v>
      </c>
      <c r="I35" s="306">
        <v>0</v>
      </c>
      <c r="J35" s="321">
        <f>GETPIVOTDATA("evaluacion",$A$16,"sost","Estatal","entidad","Nayarit","Año",2022)-GETPIVOTDATA("evaluacion",$A$16,"sost","Estatal","entidad","Nayarit","Año",2018)</f>
        <v>-2</v>
      </c>
      <c r="K35"/>
      <c r="L35"/>
      <c r="M35"/>
      <c r="N35"/>
      <c r="O35"/>
      <c r="P35"/>
      <c r="Q35"/>
    </row>
    <row r="36" spans="1:17" ht="15">
      <c r="A36" s="51" t="s">
        <v>17</v>
      </c>
      <c r="B36" s="50">
        <v>90276</v>
      </c>
      <c r="C36" s="50">
        <v>101712</v>
      </c>
      <c r="D36" s="50">
        <v>61758</v>
      </c>
      <c r="E36" s="50">
        <v>94595</v>
      </c>
      <c r="F36" s="50">
        <v>22919</v>
      </c>
      <c r="G36" s="307">
        <f>((GETPIVOTDATA("evaluacion",$A$16,"sost","Estatal","entidad","Nuevo León","Año",2022)/GETPIVOTDATA("evaluacion",$A$16,"sost","Estatal","entidad","Nuevo León","Año",2021))-1)*100</f>
        <v>-75.771446693799888</v>
      </c>
      <c r="H36" s="322">
        <f>GETPIVOTDATA("evaluacion",$A$16,"sost","Estatal","entidad","Nuevo León","Año",2022)-GETPIVOTDATA("evaluacion",$A$16,"sost","Estatal","entidad","Nuevo León","Año",2021)</f>
        <v>-71676</v>
      </c>
      <c r="I36" s="307">
        <f>((GETPIVOTDATA("evaluacion",$A$16,"sost","Estatal","entidad","Nuevo León","Año",2022)/GETPIVOTDATA("evaluacion",$A$16,"sost","Estatal","entidad","Nuevo León","Año",2018))-1)*100</f>
        <v>-74.612300057601132</v>
      </c>
      <c r="J36" s="322">
        <f>GETPIVOTDATA("evaluacion",$A$16,"sost","Estatal","entidad","Nuevo León","Año",2022)-GETPIVOTDATA("evaluacion",$A$16,"sost","Estatal","entidad","Nuevo León","Año",2018)</f>
        <v>-67357</v>
      </c>
      <c r="K36"/>
      <c r="L36"/>
      <c r="M36"/>
      <c r="N36"/>
      <c r="O36"/>
      <c r="P36"/>
      <c r="Q36"/>
    </row>
    <row r="37" spans="1:17" ht="15">
      <c r="A37" s="51" t="s">
        <v>18</v>
      </c>
      <c r="B37" s="50">
        <v>4572</v>
      </c>
      <c r="C37" s="50">
        <v>6068</v>
      </c>
      <c r="D37" s="50">
        <v>245</v>
      </c>
      <c r="E37" s="50">
        <v>1868</v>
      </c>
      <c r="F37" s="50">
        <v>3194</v>
      </c>
      <c r="G37" s="306">
        <f>((GETPIVOTDATA("evaluacion",$A$16,"sost","Estatal","entidad","Puebla","Año",2022)/GETPIVOTDATA("evaluacion",$A$16,"sost","Estatal","entidad","Puebla","Año",2021))-1)*100</f>
        <v>70.985010706638121</v>
      </c>
      <c r="H37" s="321">
        <f>GETPIVOTDATA("evaluacion",$A$16,"sost","Estatal","entidad","Puebla","Año",2022)-GETPIVOTDATA("evaluacion",$A$16,"sost","Estatal","entidad","Puebla","Año",2021)</f>
        <v>1326</v>
      </c>
      <c r="I37" s="306">
        <f>((GETPIVOTDATA("evaluacion",$A$16,"sost","Estatal","entidad","Puebla","Año",2022)/GETPIVOTDATA("evaluacion",$A$16,"sost","Estatal","entidad","Puebla","Año",2018))-1)*100</f>
        <v>-30.139982502187223</v>
      </c>
      <c r="J37" s="321">
        <f>GETPIVOTDATA("evaluacion",$A$16,"sost","Estatal","entidad","Puebla","Año",2022)-GETPIVOTDATA("evaluacion",$A$16,"sost","Estatal","entidad","Puebla","Año",2018)</f>
        <v>-1378</v>
      </c>
      <c r="K37"/>
      <c r="L37"/>
      <c r="M37"/>
      <c r="N37"/>
      <c r="O37"/>
      <c r="P37"/>
      <c r="Q37"/>
    </row>
    <row r="38" spans="1:17" ht="15">
      <c r="A38" s="51" t="s">
        <v>29</v>
      </c>
      <c r="B38" s="50">
        <v>4</v>
      </c>
      <c r="C38" s="50">
        <v>543</v>
      </c>
      <c r="D38" s="50">
        <v>98</v>
      </c>
      <c r="E38" s="50">
        <v>16</v>
      </c>
      <c r="F38" s="50">
        <v>12</v>
      </c>
      <c r="G38" s="307">
        <f>((GETPIVOTDATA("evaluacion",$A$16,"sost","Estatal","entidad","Querétaro de Arteaga","Año",2022)/GETPIVOTDATA("evaluacion",$A$16,"sost","Estatal","entidad","Querétaro de Arteaga","Año",2021))-1)*100</f>
        <v>-25</v>
      </c>
      <c r="H38" s="322">
        <f>GETPIVOTDATA("evaluacion",$A$16,"sost","Estatal","entidad","Querétaro de Arteaga","Año",2022)-GETPIVOTDATA("evaluacion",$A$16,"sost","Estatal","entidad","Querétaro de Arteaga","Año",2021)</f>
        <v>-4</v>
      </c>
      <c r="I38" s="307">
        <f>((GETPIVOTDATA("evaluacion",$A$16,"sost","Estatal","entidad","Querétaro de Arteaga","Año",2022)/GETPIVOTDATA("evaluacion",$A$16,"sost","Estatal","entidad","Querétaro de Arteaga","Año",2018))-1)*100</f>
        <v>200</v>
      </c>
      <c r="J38" s="322">
        <f>GETPIVOTDATA("evaluacion",$A$16,"sost","Estatal","entidad","Querétaro de Arteaga","Año",2022)-GETPIVOTDATA("evaluacion",$A$16,"sost","Estatal","entidad","Querétaro de Arteaga","Año",2018)</f>
        <v>8</v>
      </c>
      <c r="K38"/>
      <c r="L38"/>
      <c r="M38"/>
      <c r="N38"/>
      <c r="O38"/>
      <c r="P38"/>
      <c r="Q38"/>
    </row>
    <row r="39" spans="1:17" ht="15">
      <c r="A39" s="51" t="s">
        <v>19</v>
      </c>
      <c r="B39" s="50">
        <v>174</v>
      </c>
      <c r="C39" s="50">
        <v>2272</v>
      </c>
      <c r="D39" s="50">
        <v>52</v>
      </c>
      <c r="E39" s="50">
        <v>367</v>
      </c>
      <c r="F39" s="50">
        <v>518</v>
      </c>
      <c r="G39" s="306">
        <f>((GETPIVOTDATA("evaluacion",$A$16,"sost","Estatal","entidad","Quintana Roo","Año",2022)/GETPIVOTDATA("evaluacion",$A$16,"sost","Estatal","entidad","Quintana Roo","Año",2021))-1)*100</f>
        <v>41.144414168937324</v>
      </c>
      <c r="H39" s="321">
        <f>GETPIVOTDATA("evaluacion",$A$16,"sost","Estatal","entidad","Quintana Roo","Año",2022)-GETPIVOTDATA("evaluacion",$A$16,"sost","Estatal","entidad","Quintana Roo","Año",2021)</f>
        <v>151</v>
      </c>
      <c r="I39" s="306">
        <f>((GETPIVOTDATA("evaluacion",$A$16,"sost","Estatal","entidad","Quintana Roo","Año",2022)/GETPIVOTDATA("evaluacion",$A$16,"sost","Estatal","entidad","Quintana Roo","Año",2018))-1)*100</f>
        <v>197.70114942528733</v>
      </c>
      <c r="J39" s="321">
        <f>GETPIVOTDATA("evaluacion",$A$16,"sost","Estatal","entidad","Quintana Roo","Año",2022)-GETPIVOTDATA("evaluacion",$A$16,"sost","Estatal","entidad","Quintana Roo","Año",2018)</f>
        <v>344</v>
      </c>
      <c r="K39"/>
      <c r="L39"/>
      <c r="M39"/>
      <c r="N39"/>
      <c r="O39"/>
      <c r="P39"/>
      <c r="Q39"/>
    </row>
    <row r="40" spans="1:17" ht="15">
      <c r="A40" s="51" t="s">
        <v>20</v>
      </c>
      <c r="B40" s="50">
        <v>578</v>
      </c>
      <c r="C40" s="50">
        <v>1248</v>
      </c>
      <c r="D40" s="50">
        <v>182</v>
      </c>
      <c r="E40" s="50">
        <v>285</v>
      </c>
      <c r="F40" s="50">
        <v>93</v>
      </c>
      <c r="G40" s="307">
        <f>((GETPIVOTDATA("evaluacion",$A$16,"sost","Estatal","entidad","San Luis Potosí","Año",2022)/GETPIVOTDATA("evaluacion",$A$16,"sost","Estatal","entidad","San Luis Potosí","Año",2021))-1)*100</f>
        <v>-67.368421052631575</v>
      </c>
      <c r="H40" s="322">
        <f>GETPIVOTDATA("evaluacion",$A$16,"sost","Estatal","entidad","San Luis Potosí","Año",2022)-GETPIVOTDATA("evaluacion",$A$16,"sost","Estatal","entidad","San Luis Potosí","Año",2021)</f>
        <v>-192</v>
      </c>
      <c r="I40" s="307">
        <f>((GETPIVOTDATA("evaluacion",$A$16,"sost","Estatal","entidad","San Luis Potosí","Año",2022)/GETPIVOTDATA("evaluacion",$A$16,"sost","Estatal","entidad","San Luis Potosí","Año",2018))-1)*100</f>
        <v>-83.910034602076124</v>
      </c>
      <c r="J40" s="322">
        <f>GETPIVOTDATA("evaluacion",$A$16,"sost","Estatal","entidad","San Luis Potosí","Año",2022)-GETPIVOTDATA("evaluacion",$A$16,"sost","Estatal","entidad","San Luis Potosí","Año",2018)</f>
        <v>-485</v>
      </c>
      <c r="K40"/>
      <c r="L40"/>
      <c r="M40"/>
      <c r="N40"/>
      <c r="O40"/>
      <c r="P40"/>
      <c r="Q40"/>
    </row>
    <row r="41" spans="1:17" ht="15">
      <c r="A41" s="51" t="s">
        <v>21</v>
      </c>
      <c r="B41" s="50">
        <v>57</v>
      </c>
      <c r="C41" s="50">
        <v>2</v>
      </c>
      <c r="D41" s="50">
        <v>2</v>
      </c>
      <c r="E41" s="50">
        <v>0</v>
      </c>
      <c r="F41" s="50">
        <v>0</v>
      </c>
      <c r="G41" s="306">
        <v>0</v>
      </c>
      <c r="H41" s="321">
        <f>GETPIVOTDATA("evaluacion",$A$16,"sost","Estatal","entidad","Sinaloa","Año",2022)-GETPIVOTDATA("evaluacion",$A$16,"sost","Estatal","entidad","Sinaloa","Año",2021)</f>
        <v>0</v>
      </c>
      <c r="I41" s="306">
        <v>0</v>
      </c>
      <c r="J41" s="321">
        <f>GETPIVOTDATA("evaluacion",$A$16,"sost","Estatal","entidad","Sinaloa","Año",2022)-GETPIVOTDATA("evaluacion",$A$16,"sost","Estatal","entidad","Sinaloa","Año",2018)</f>
        <v>-57</v>
      </c>
      <c r="K41"/>
      <c r="L41"/>
      <c r="M41"/>
      <c r="N41"/>
      <c r="O41"/>
      <c r="P41"/>
      <c r="Q41"/>
    </row>
    <row r="42" spans="1:17" ht="15">
      <c r="A42" s="51" t="s">
        <v>22</v>
      </c>
      <c r="B42" s="50">
        <v>5</v>
      </c>
      <c r="C42" s="50">
        <v>549</v>
      </c>
      <c r="D42" s="50">
        <v>106</v>
      </c>
      <c r="E42" s="50">
        <v>11</v>
      </c>
      <c r="F42" s="50">
        <v>37</v>
      </c>
      <c r="G42" s="307">
        <f>((GETPIVOTDATA("evaluacion",$A$16,"sost","Estatal","entidad","Sonora","Año",2022)/GETPIVOTDATA("evaluacion",$A$16,"sost","Estatal","entidad","Sonora","Año",2021))-1)*100</f>
        <v>236.36363636363637</v>
      </c>
      <c r="H42" s="322">
        <f>GETPIVOTDATA("evaluacion",$A$16,"sost","Estatal","entidad","Sonora","Año",2022)-GETPIVOTDATA("evaluacion",$A$16,"sost","Estatal","entidad","Sonora","Año",2021)</f>
        <v>26</v>
      </c>
      <c r="I42" s="307">
        <f>((GETPIVOTDATA("evaluacion",$A$16,"sost","Estatal","entidad","Sonora","Año",2022)/GETPIVOTDATA("evaluacion",$A$16,"sost","Estatal","entidad","Sonora","Año",2018))-1)*100</f>
        <v>640</v>
      </c>
      <c r="J42" s="322">
        <f>GETPIVOTDATA("evaluacion",$A$16,"sost","Estatal","entidad","Sonora","Año",2022)-GETPIVOTDATA("evaluacion",$A$16,"sost","Estatal","entidad","Sonora","Año",2018)</f>
        <v>32</v>
      </c>
      <c r="K42"/>
      <c r="L42"/>
      <c r="M42"/>
      <c r="N42"/>
      <c r="O42"/>
      <c r="P42"/>
      <c r="Q42"/>
    </row>
    <row r="43" spans="1:17" ht="15">
      <c r="A43" s="51" t="s">
        <v>23</v>
      </c>
      <c r="B43" s="50">
        <v>132</v>
      </c>
      <c r="C43" s="50">
        <v>512</v>
      </c>
      <c r="D43" s="50">
        <v>105</v>
      </c>
      <c r="E43" s="50">
        <v>53</v>
      </c>
      <c r="F43" s="50">
        <v>81</v>
      </c>
      <c r="G43" s="306">
        <f>((GETPIVOTDATA("evaluacion",$A$16,"sost","Estatal","entidad","Tabasco","Año",2022)/GETPIVOTDATA("evaluacion",$A$16,"sost","Estatal","entidad","Tabasco","Año",2021))-1)*100</f>
        <v>52.830188679245296</v>
      </c>
      <c r="H43" s="321">
        <f>GETPIVOTDATA("evaluacion",$A$16,"sost","Estatal","entidad","Tabasco","Año",2022)-GETPIVOTDATA("evaluacion",$A$16,"sost","Estatal","entidad","Tabasco","Año",2021)</f>
        <v>28</v>
      </c>
      <c r="I43" s="306">
        <f>((GETPIVOTDATA("evaluacion",$A$16,"sost","Estatal","entidad","Tabasco","Año",2022)/GETPIVOTDATA("evaluacion",$A$16,"sost","Estatal","entidad","Tabasco","Año",2018))-1)*100</f>
        <v>-38.636363636363633</v>
      </c>
      <c r="J43" s="321">
        <f>GETPIVOTDATA("evaluacion",$A$16,"sost","Estatal","entidad","Tabasco","Año",2022)-GETPIVOTDATA("evaluacion",$A$16,"sost","Estatal","entidad","Tabasco","Año",2018)</f>
        <v>-51</v>
      </c>
      <c r="K43"/>
      <c r="L43"/>
      <c r="M43"/>
      <c r="N43"/>
      <c r="O43"/>
      <c r="P43"/>
      <c r="Q43"/>
    </row>
    <row r="44" spans="1:17" ht="15">
      <c r="A44" s="51" t="s">
        <v>24</v>
      </c>
      <c r="B44" s="50">
        <v>160</v>
      </c>
      <c r="C44" s="50">
        <v>508</v>
      </c>
      <c r="D44" s="50">
        <v>63</v>
      </c>
      <c r="E44" s="50">
        <v>47</v>
      </c>
      <c r="F44" s="50">
        <v>0</v>
      </c>
      <c r="G44" s="307">
        <f>((GETPIVOTDATA("evaluacion",$A$16,"sost","Estatal","entidad","Tamaulipas","Año",2022)/GETPIVOTDATA("evaluacion",$A$16,"sost","Estatal","entidad","Tamaulipas","Año",2021))-1)*100</f>
        <v>-100</v>
      </c>
      <c r="H44" s="322">
        <f>GETPIVOTDATA("evaluacion",$A$16,"sost","Estatal","entidad","Tamaulipas","Año",2022)-GETPIVOTDATA("evaluacion",$A$16,"sost","Estatal","entidad","Tamaulipas","Año",2021)</f>
        <v>-47</v>
      </c>
      <c r="I44" s="307">
        <f>((GETPIVOTDATA("evaluacion",$A$16,"sost","Estatal","entidad","Tamaulipas","Año",2022)/GETPIVOTDATA("evaluacion",$A$16,"sost","Estatal","entidad","Tamaulipas","Año",2018))-1)*100</f>
        <v>-100</v>
      </c>
      <c r="J44" s="322">
        <f>GETPIVOTDATA("evaluacion",$A$16,"sost","Estatal","entidad","Tamaulipas","Año",2022)-GETPIVOTDATA("evaluacion",$A$16,"sost","Estatal","entidad","Tamaulipas","Año",2018)</f>
        <v>-160</v>
      </c>
      <c r="K44"/>
      <c r="L44"/>
      <c r="M44"/>
      <c r="N44"/>
      <c r="O44"/>
      <c r="P44"/>
      <c r="Q44"/>
    </row>
    <row r="45" spans="1:17" ht="15">
      <c r="A45" s="51" t="s">
        <v>25</v>
      </c>
      <c r="B45" s="50">
        <v>26</v>
      </c>
      <c r="C45" s="50">
        <v>822</v>
      </c>
      <c r="D45" s="50">
        <v>21</v>
      </c>
      <c r="E45" s="50">
        <v>7</v>
      </c>
      <c r="F45" s="50">
        <v>0</v>
      </c>
      <c r="G45" s="306">
        <f>((GETPIVOTDATA("evaluacion",$A$16,"sost","Estatal","entidad","Tlaxcala","Año",2022)/GETPIVOTDATA("evaluacion",$A$16,"sost","Estatal","entidad","Tlaxcala","Año",2021))-1)*100</f>
        <v>-100</v>
      </c>
      <c r="H45" s="321">
        <f>GETPIVOTDATA("evaluacion",$A$16,"sost","Estatal","entidad","Tlaxcala","Año",2022)-GETPIVOTDATA("evaluacion",$A$16,"sost","Estatal","entidad","Tlaxcala","Año",2021)</f>
        <v>-7</v>
      </c>
      <c r="I45" s="306">
        <f>((GETPIVOTDATA("evaluacion",$A$16,"sost","Estatal","entidad","Tlaxcala","Año",2022)/GETPIVOTDATA("evaluacion",$A$16,"sost","Estatal","entidad","Tlaxcala","Año",2018))-1)*100</f>
        <v>-100</v>
      </c>
      <c r="J45" s="321">
        <f>GETPIVOTDATA("evaluacion",$A$16,"sost","Estatal","entidad","Tlaxcala","Año",2022)-GETPIVOTDATA("evaluacion",$A$16,"sost","Estatal","entidad","Tlaxcala","Año",2018)</f>
        <v>-26</v>
      </c>
      <c r="K45"/>
      <c r="L45"/>
      <c r="M45"/>
      <c r="N45"/>
      <c r="O45"/>
      <c r="P45"/>
      <c r="Q45"/>
    </row>
    <row r="46" spans="1:17" ht="15">
      <c r="A46" s="51" t="s">
        <v>53</v>
      </c>
      <c r="B46" s="50">
        <v>907</v>
      </c>
      <c r="C46" s="50">
        <v>4529</v>
      </c>
      <c r="D46" s="50">
        <v>1270</v>
      </c>
      <c r="E46" s="50">
        <v>435</v>
      </c>
      <c r="F46" s="50">
        <v>1429</v>
      </c>
      <c r="G46" s="307">
        <f>((GETPIVOTDATA("evaluacion",$A$16,"sost","Estatal","entidad","Veracruz llave","Año",2022)/GETPIVOTDATA("evaluacion",$A$16,"sost","Estatal","entidad","Veracruz llave","Año",2021))-1)*100</f>
        <v>228.50574712643677</v>
      </c>
      <c r="H46" s="322">
        <f>GETPIVOTDATA("evaluacion",$A$16,"sost","Estatal","entidad","Veracruz llave","Año",2022)-GETPIVOTDATA("evaluacion",$A$16,"sost","Estatal","entidad","Veracruz llave","Año",2021)</f>
        <v>994</v>
      </c>
      <c r="I46" s="307">
        <f>((GETPIVOTDATA("evaluacion",$A$16,"sost","Estatal","entidad","Veracruz llave","Año",2022)/GETPIVOTDATA("evaluacion",$A$16,"sost","Estatal","entidad","Veracruz llave","Año",2018))-1)*100</f>
        <v>57.552370452039689</v>
      </c>
      <c r="J46" s="322">
        <f>GETPIVOTDATA("evaluacion",$A$16,"sost","Estatal","entidad","Veracruz llave","Año",2022)-GETPIVOTDATA("evaluacion",$A$16,"sost","Estatal","entidad","Veracruz llave","Año",2018)</f>
        <v>522</v>
      </c>
      <c r="K46"/>
      <c r="L46"/>
      <c r="M46"/>
      <c r="N46"/>
      <c r="O46"/>
      <c r="P46"/>
      <c r="Q46"/>
    </row>
    <row r="47" spans="1:17" ht="15">
      <c r="A47" s="51" t="s">
        <v>26</v>
      </c>
      <c r="B47" s="50">
        <v>445</v>
      </c>
      <c r="C47" s="50">
        <v>1504</v>
      </c>
      <c r="D47" s="50">
        <v>848</v>
      </c>
      <c r="E47" s="50">
        <v>837</v>
      </c>
      <c r="F47" s="50">
        <v>623</v>
      </c>
      <c r="G47" s="306">
        <f>((GETPIVOTDATA("evaluacion",$A$16,"sost","Estatal","entidad","Yucatán","Año",2022)/GETPIVOTDATA("evaluacion",$A$16,"sost","Estatal","entidad","Yucatán","Año",2021))-1)*100</f>
        <v>-25.567502986857825</v>
      </c>
      <c r="H47" s="321">
        <f>GETPIVOTDATA("evaluacion",$A$16,"sost","Estatal","entidad","Yucatán","Año",2022)-GETPIVOTDATA("evaluacion",$A$16,"sost","Estatal","entidad","Yucatán","Año",2021)</f>
        <v>-214</v>
      </c>
      <c r="I47" s="306">
        <f>((GETPIVOTDATA("evaluacion",$A$16,"sost","Estatal","entidad","Yucatán","Año",2022)/GETPIVOTDATA("evaluacion",$A$16,"sost","Estatal","entidad","Yucatán","Año",2018))-1)*100</f>
        <v>39.999999999999993</v>
      </c>
      <c r="J47" s="321">
        <f>GETPIVOTDATA("evaluacion",$A$16,"sost","Estatal","entidad","Yucatán","Año",2022)-GETPIVOTDATA("evaluacion",$A$16,"sost","Estatal","entidad","Yucatán","Año",2018)</f>
        <v>178</v>
      </c>
      <c r="K47"/>
      <c r="L47"/>
      <c r="M47"/>
      <c r="N47"/>
      <c r="O47"/>
      <c r="P47"/>
      <c r="Q47"/>
    </row>
    <row r="48" spans="1:17" ht="15">
      <c r="A48" s="51" t="s">
        <v>27</v>
      </c>
      <c r="B48" s="50">
        <v>78</v>
      </c>
      <c r="C48" s="50">
        <v>693</v>
      </c>
      <c r="D48" s="50">
        <v>24</v>
      </c>
      <c r="E48" s="50">
        <v>0</v>
      </c>
      <c r="F48" s="50">
        <v>3</v>
      </c>
      <c r="G48" s="307">
        <v>0</v>
      </c>
      <c r="H48" s="322">
        <f>GETPIVOTDATA("evaluacion",$A$16,"sost","Estatal","entidad","Zacatecas","Año",2022)-GETPIVOTDATA("evaluacion",$A$16,"sost","Estatal","entidad","Zacatecas","Año",2021)</f>
        <v>3</v>
      </c>
      <c r="I48" s="307">
        <f>((GETPIVOTDATA("evaluacion",$A$16,"sost","Estatal","entidad","Zacatecas","Año",2022)/GETPIVOTDATA("evaluacion",$A$16,"sost","Estatal","entidad","Zacatecas","Año",2018))-1)*100</f>
        <v>-96.15384615384616</v>
      </c>
      <c r="J48" s="322">
        <f>GETPIVOTDATA("evaluacion",$A$16,"sost","Estatal","entidad","Zacatecas","Año",2022)-GETPIVOTDATA("evaluacion",$A$16,"sost","Estatal","entidad","Zacatecas","Año",2018)</f>
        <v>-75</v>
      </c>
      <c r="K48"/>
      <c r="L48"/>
      <c r="M48"/>
      <c r="N48"/>
      <c r="O48"/>
      <c r="P48"/>
      <c r="Q48"/>
    </row>
    <row r="49" spans="1:17" ht="15">
      <c r="A49" s="49" t="s">
        <v>50</v>
      </c>
      <c r="B49" s="87">
        <v>12475</v>
      </c>
      <c r="C49" s="87">
        <v>7110</v>
      </c>
      <c r="D49" s="87">
        <v>3518</v>
      </c>
      <c r="E49" s="87">
        <v>3153</v>
      </c>
      <c r="F49" s="87">
        <v>5209</v>
      </c>
      <c r="G49" s="308">
        <f>((GETPIVOTDATA("evaluacion",$A$16,"sost","Federal","Año",2022)/GETPIVOTDATA("evaluacion",$A$16,"sost","Federal","Año",2021))-1)*100</f>
        <v>65.207738661592131</v>
      </c>
      <c r="H49" s="323">
        <f>GETPIVOTDATA("evaluacion",$A$16,"sost","Federal","Año",2022)-GETPIVOTDATA("evaluacion",$A$16,"sost","Federal","Año",2021)</f>
        <v>2056</v>
      </c>
      <c r="I49" s="308">
        <f>((GETPIVOTDATA("evaluacion",$A$16,"sost","Federal","Año",2022)/GETPIVOTDATA("evaluacion",$A$16,"sost","Federal","Año",2018))-1)*100</f>
        <v>-58.244488977955911</v>
      </c>
      <c r="J49" s="323">
        <f>GETPIVOTDATA("evaluacion",$A$16,"sost","Federal","Año",2022)-GETPIVOTDATA("evaluacion",$A$16,"sost","Federal","Año",2018)</f>
        <v>-7266</v>
      </c>
      <c r="K49"/>
      <c r="L49"/>
      <c r="M49"/>
      <c r="N49"/>
      <c r="O49"/>
      <c r="P49"/>
      <c r="Q49"/>
    </row>
    <row r="50" spans="1:17" ht="15">
      <c r="A50" s="51" t="s">
        <v>32</v>
      </c>
      <c r="B50" s="50">
        <v>1998</v>
      </c>
      <c r="C50" s="50">
        <v>2918</v>
      </c>
      <c r="D50" s="50">
        <v>457</v>
      </c>
      <c r="E50" s="50">
        <v>301</v>
      </c>
      <c r="F50" s="50">
        <v>2581</v>
      </c>
      <c r="G50" s="307">
        <f>((GETPIVOTDATA("evaluacion",$A$16,"sost","Federal","entidad","Ciudad de México","Año",2022)/GETPIVOTDATA("evaluacion",$A$16,"sost","Federal","entidad","Ciudad de México","Año",2021))-1)*100</f>
        <v>757.47508305647852</v>
      </c>
      <c r="H50" s="322">
        <f>GETPIVOTDATA("evaluacion",$A$16,"sost","Federal","entidad","Ciudad de México","Año",2022)-GETPIVOTDATA("evaluacion",$A$16,"sost","Federal","entidad","Ciudad de México","Año",2021)</f>
        <v>2280</v>
      </c>
      <c r="I50" s="307">
        <f>((GETPIVOTDATA("evaluacion",$A$16,"sost","Federal","entidad","Ciudad de México","Año",2022)/GETPIVOTDATA("evaluacion",$A$16,"sost","Federal","entidad","Ciudad de México","Año",2018))-1)*100</f>
        <v>29.179179179179183</v>
      </c>
      <c r="J50" s="322">
        <f>GETPIVOTDATA("evaluacion",$A$16,"sost","Federal","entidad","Ciudad de México","Año",2022)-GETPIVOTDATA("evaluacion",$A$16,"sost","Federal","entidad","Ciudad de México","Año",2018)</f>
        <v>583</v>
      </c>
      <c r="K50"/>
      <c r="L50"/>
      <c r="M50"/>
      <c r="N50"/>
      <c r="O50"/>
      <c r="P50"/>
      <c r="Q50"/>
    </row>
    <row r="51" spans="1:17" ht="15">
      <c r="A51" s="51" t="s">
        <v>28</v>
      </c>
      <c r="B51" s="50">
        <v>635</v>
      </c>
      <c r="C51" s="50">
        <v>473</v>
      </c>
      <c r="D51" s="50">
        <v>213</v>
      </c>
      <c r="E51" s="50">
        <v>67</v>
      </c>
      <c r="F51" s="50">
        <v>342</v>
      </c>
      <c r="G51" s="306">
        <f>((GETPIVOTDATA("evaluacion",$A$16,"sost","Federal","entidad","Oaxaca","Año",2022)/GETPIVOTDATA("evaluacion",$A$16,"sost","Federal","entidad","Oaxaca","Año",2021))-1)*100</f>
        <v>410.44776119402985</v>
      </c>
      <c r="H51" s="321">
        <f>GETPIVOTDATA("evaluacion",$A$16,"sost","Federal","entidad","Oaxaca","Año",2022)-GETPIVOTDATA("evaluacion",$A$16,"sost","Federal","entidad","Oaxaca","Año",2021)</f>
        <v>275</v>
      </c>
      <c r="I51" s="306">
        <f>((GETPIVOTDATA("evaluacion",$A$16,"sost","Federal","entidad","Oaxaca","Año",2022)/GETPIVOTDATA("evaluacion",$A$16,"sost","Federal","entidad","Oaxaca","Año",2018))-1)*100</f>
        <v>-46.141732283464563</v>
      </c>
      <c r="J51" s="321">
        <f>GETPIVOTDATA("evaluacion",$A$16,"sost","Federal","entidad","Oaxaca","Año",2022)-GETPIVOTDATA("evaluacion",$A$16,"sost","Federal","entidad","Oaxaca","Año",2018)</f>
        <v>-293</v>
      </c>
      <c r="K51"/>
      <c r="L51"/>
      <c r="M51"/>
      <c r="N51"/>
      <c r="O51"/>
      <c r="P51"/>
      <c r="Q51"/>
    </row>
    <row r="52" spans="1:17" ht="15">
      <c r="A52" s="51" t="s">
        <v>39</v>
      </c>
      <c r="B52" s="50">
        <v>9842</v>
      </c>
      <c r="C52" s="50">
        <v>3719</v>
      </c>
      <c r="D52" s="50">
        <v>2848</v>
      </c>
      <c r="E52" s="50">
        <v>2785</v>
      </c>
      <c r="F52" s="50">
        <v>2286</v>
      </c>
      <c r="G52" s="307">
        <f>((GETPIVOTDATA("evaluacion",$A$16,"sost","Federal","entidad","Oficinas Nacionales","Año",2022)/GETPIVOTDATA("evaluacion",$A$16,"sost","Federal","entidad","Oficinas Nacionales","Año",2021))-1)*100</f>
        <v>-17.917414721723524</v>
      </c>
      <c r="H52" s="322">
        <f>GETPIVOTDATA("evaluacion",$A$16,"sost","Federal","entidad","Oficinas Nacionales","Año",2022)-GETPIVOTDATA("evaluacion",$A$16,"sost","Federal","entidad","Oficinas Nacionales","Año",2021)</f>
        <v>-499</v>
      </c>
      <c r="I52" s="307">
        <f>((GETPIVOTDATA("evaluacion",$A$16,"sost","Federal","entidad","Oficinas Nacionales","Año",2022)/GETPIVOTDATA("evaluacion",$A$16,"sost","Federal","entidad","Oficinas Nacionales","Año",2018))-1)*100</f>
        <v>-76.773013615118884</v>
      </c>
      <c r="J52" s="322">
        <f>GETPIVOTDATA("evaluacion",$A$16,"sost","Federal","entidad","Oficinas Nacionales","Año",2022)-GETPIVOTDATA("evaluacion",$A$16,"sost","Federal","entidad","Oficinas Nacionales","Año",2018)</f>
        <v>-7556</v>
      </c>
      <c r="K52"/>
      <c r="L52"/>
      <c r="M52"/>
      <c r="N52"/>
      <c r="O52"/>
      <c r="P52"/>
      <c r="Q52"/>
    </row>
    <row r="53" spans="1:17" ht="15">
      <c r="A53" s="49" t="s">
        <v>124</v>
      </c>
      <c r="B53" s="50">
        <v>707</v>
      </c>
      <c r="C53" s="50">
        <v>1235</v>
      </c>
      <c r="D53" s="50">
        <v>534</v>
      </c>
      <c r="E53" s="50">
        <v>448</v>
      </c>
      <c r="F53" s="87">
        <v>1204</v>
      </c>
      <c r="G53" s="308">
        <f>((GETPIVOTDATA("evaluacion",$A$16,"sost","Otro","Año",2022)/GETPIVOTDATA("evaluacion",$A$16,"sost","Otro","Año",2021))-1)*100</f>
        <v>168.75</v>
      </c>
      <c r="H53" s="323">
        <f>GETPIVOTDATA("evaluacion",$A$16,"sost","Otro","Año",2022)-GETPIVOTDATA("evaluacion",$A$16,"sost","Otro","Año",2021)</f>
        <v>756</v>
      </c>
      <c r="I53" s="308">
        <f>((GETPIVOTDATA("evaluacion",$A$16,"sost","Otro","Año",2022)/GETPIVOTDATA("evaluacion",$A$16,"sost","Otro","Año",2018))-1)*100</f>
        <v>70.297029702970292</v>
      </c>
      <c r="J53" s="323">
        <f>GETPIVOTDATA("evaluacion",$A$16,"sost","Otro","Año",2022)-GETPIVOTDATA("evaluacion",$A$16,"sost","Otro","Año",2018)</f>
        <v>497</v>
      </c>
      <c r="K53"/>
      <c r="L53"/>
      <c r="M53"/>
      <c r="N53"/>
      <c r="O53"/>
      <c r="P53"/>
      <c r="Q53"/>
    </row>
    <row r="54" spans="1:17" ht="15" hidden="1">
      <c r="A54" s="51" t="s">
        <v>40</v>
      </c>
      <c r="B54" s="50">
        <v>707</v>
      </c>
      <c r="C54" s="50">
        <v>1235</v>
      </c>
      <c r="D54" s="50">
        <v>534</v>
      </c>
      <c r="E54" s="50">
        <v>448</v>
      </c>
      <c r="F54" s="50">
        <v>1204</v>
      </c>
      <c r="G54" s="291">
        <f>((GETPIVOTDATA("evaluacion",$A$16,"sost","Otro","entidad","Otros","Año",2022)/GETPIVOTDATA("evaluacion",$A$16,"sost","Otro","entidad","Otros","Año",2021))-1)*100</f>
        <v>168.75</v>
      </c>
      <c r="H54" s="321">
        <f>GETPIVOTDATA("evaluacion",$A$16,"sost","Otro","entidad","Otros","Año",2022)-GETPIVOTDATA("evaluacion",$A$16,"sost","Otro","entidad","Otros","Año",2021)</f>
        <v>756</v>
      </c>
      <c r="I54" s="291">
        <f>((GETPIVOTDATA("evaluacion",$A$16,"sost","Otro","entidad","Otros","Año",2022)/GETPIVOTDATA("evaluacion",$A$16,"sost","Otro","entidad","Otros","Año",2018))-1)*100</f>
        <v>70.297029702970292</v>
      </c>
      <c r="J54" s="321">
        <f>GETPIVOTDATA("evaluacion",$A$16,"sost","Otro","entidad","Otros","Año",2022)-GETPIVOTDATA("evaluacion",$A$16,"sost","Otro","entidad","Otros","Año",2018)</f>
        <v>497</v>
      </c>
      <c r="K54"/>
      <c r="L54"/>
      <c r="M54"/>
      <c r="N54"/>
      <c r="O54"/>
      <c r="P54"/>
      <c r="Q54"/>
    </row>
    <row r="55" spans="1:17" ht="15" hidden="1">
      <c r="A55" s="49" t="s">
        <v>37</v>
      </c>
      <c r="B55" s="50">
        <v>217109</v>
      </c>
      <c r="C55" s="50">
        <v>235963</v>
      </c>
      <c r="D55" s="50">
        <v>114862</v>
      </c>
      <c r="E55" s="50">
        <v>117603</v>
      </c>
      <c r="F55" s="50">
        <v>100911</v>
      </c>
      <c r="G55" s="308">
        <f>((GETPIVOTDATA("evaluacion",$A$16,"Año",2022)/GETPIVOTDATA("evaluacion",$A$16,"Año",2021))-1)*100</f>
        <v>-14.193515471544094</v>
      </c>
      <c r="H55" s="329">
        <f>GETPIVOTDATA("evaluacion",$A$16,"Año",2022)-GETPIVOTDATA("evaluacion",$A$16,"Año",2021)</f>
        <v>-16692</v>
      </c>
      <c r="I55" s="356">
        <f>((GETPIVOTDATA("evaluacion",$A$16,"Año",2022)/GETPIVOTDATA("evaluacion",$A$16,"Año",2018))-1)*100</f>
        <v>-53.520581827561273</v>
      </c>
      <c r="J55" s="329">
        <f>GETPIVOTDATA("evaluacion",$A$16,"Año",2022)-GETPIVOTDATA("evaluacion",$A$16,"Año",2018)</f>
        <v>-116198</v>
      </c>
      <c r="K55"/>
      <c r="L55"/>
      <c r="M55"/>
      <c r="N55"/>
      <c r="O55"/>
      <c r="P55"/>
      <c r="Q55"/>
    </row>
    <row r="56" spans="1:17" ht="15">
      <c r="A56"/>
      <c r="B56"/>
      <c r="C56"/>
      <c r="D56"/>
      <c r="E56"/>
      <c r="F56"/>
      <c r="G56" s="342"/>
      <c r="H56" s="342"/>
      <c r="I56" s="355"/>
      <c r="J56" s="342"/>
      <c r="K56"/>
      <c r="L56"/>
      <c r="M56"/>
      <c r="N56"/>
      <c r="O56"/>
      <c r="P56"/>
      <c r="Q56"/>
    </row>
    <row r="57" spans="1:17" ht="12.75" customHeight="1">
      <c r="A57" s="84" t="s">
        <v>41</v>
      </c>
      <c r="B57" s="85"/>
      <c r="C57" s="85"/>
      <c r="D57" s="85"/>
      <c r="E57" s="85"/>
      <c r="F57" s="85"/>
      <c r="G57" s="294"/>
      <c r="H57" s="294"/>
      <c r="I57" s="294"/>
      <c r="J57" s="294"/>
    </row>
    <row r="58" spans="1:17" ht="18" customHeight="1">
      <c r="A58" s="369" t="s">
        <v>323</v>
      </c>
      <c r="B58" s="369"/>
      <c r="C58" s="369"/>
      <c r="D58" s="369"/>
      <c r="E58" s="369"/>
    </row>
  </sheetData>
  <mergeCells count="4">
    <mergeCell ref="B15:D15"/>
    <mergeCell ref="E15:G15"/>
    <mergeCell ref="A58:E58"/>
    <mergeCell ref="A5:J5"/>
  </mergeCells>
  <printOptions horizontalCentered="1"/>
  <pageMargins left="0.70866141732283472" right="0.70866141732283472" top="0.74803149606299213" bottom="0.74803149606299213" header="0.31496062992125984" footer="0.31496062992125984"/>
  <pageSetup paperSize="9" scale="80" orientation="portrait" r:id="rId2"/>
  <drawing r:id="rId3"/>
  <tableParts count="1">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57"/>
  <sheetViews>
    <sheetView showGridLines="0" view="pageBreakPreview" topLeftCell="A29" zoomScale="120" zoomScaleNormal="120" zoomScaleSheetLayoutView="120" workbookViewId="0">
      <selection activeCell="L39" sqref="L39"/>
    </sheetView>
  </sheetViews>
  <sheetFormatPr baseColWidth="10" defaultColWidth="11.42578125" defaultRowHeight="13.5"/>
  <cols>
    <col min="1" max="1" width="23.5703125" style="48" customWidth="1"/>
    <col min="2" max="10" width="8.7109375" style="48" customWidth="1"/>
    <col min="11" max="11" width="15.140625" style="48" bestFit="1" customWidth="1"/>
    <col min="12" max="12" width="11.5703125" style="48" bestFit="1" customWidth="1"/>
    <col min="13" max="13" width="20.140625" style="48" bestFit="1" customWidth="1"/>
    <col min="14" max="14" width="16.5703125" style="48" bestFit="1" customWidth="1"/>
    <col min="15" max="16384" width="11.42578125" style="48"/>
  </cols>
  <sheetData>
    <row r="1" spans="1:12" s="3" customFormat="1" ht="15" customHeight="1">
      <c r="B1" s="1"/>
      <c r="C1" s="1"/>
      <c r="D1" s="1"/>
      <c r="E1" s="1"/>
      <c r="F1" s="1"/>
      <c r="G1" s="1"/>
      <c r="J1" s="64" t="s">
        <v>48</v>
      </c>
    </row>
    <row r="2" spans="1:12" s="3" customFormat="1" ht="15" customHeight="1">
      <c r="B2" s="1"/>
      <c r="C2" s="1"/>
      <c r="D2" s="1"/>
      <c r="E2" s="1"/>
      <c r="F2" s="1"/>
      <c r="G2" s="1"/>
      <c r="J2" s="6" t="s">
        <v>42</v>
      </c>
    </row>
    <row r="3" spans="1:12" s="3" customFormat="1" ht="12.75" customHeight="1">
      <c r="B3" s="1"/>
      <c r="C3" s="1"/>
      <c r="D3" s="1"/>
      <c r="E3" s="1"/>
      <c r="F3" s="1"/>
      <c r="G3" s="1"/>
      <c r="H3" s="63"/>
    </row>
    <row r="4" spans="1:12" s="3" customFormat="1" ht="5.25" customHeight="1">
      <c r="B4" s="1"/>
      <c r="C4" s="1"/>
      <c r="D4" s="1"/>
      <c r="E4" s="1"/>
      <c r="F4" s="1"/>
      <c r="G4" s="1"/>
      <c r="H4" s="63"/>
    </row>
    <row r="5" spans="1:12" s="3" customFormat="1" ht="13.5" customHeight="1">
      <c r="A5" s="367" t="s">
        <v>185</v>
      </c>
      <c r="B5" s="367"/>
      <c r="C5" s="367"/>
      <c r="D5" s="367"/>
      <c r="E5" s="367"/>
      <c r="F5" s="367"/>
      <c r="G5" s="367"/>
      <c r="H5" s="367"/>
      <c r="I5" s="367"/>
      <c r="J5" s="367"/>
    </row>
    <row r="6" spans="1:12" s="3" customFormat="1" ht="6.75" customHeight="1">
      <c r="A6" s="122"/>
      <c r="B6" s="63"/>
      <c r="C6" s="65"/>
      <c r="D6" s="65"/>
      <c r="E6" s="66"/>
      <c r="F6" s="66"/>
      <c r="G6" s="66"/>
      <c r="H6" s="66"/>
    </row>
    <row r="7" spans="1:12" s="68" customFormat="1" ht="14.1" customHeight="1">
      <c r="A7" s="76" t="s">
        <v>45</v>
      </c>
      <c r="B7" s="76" t="s">
        <v>0</v>
      </c>
      <c r="C7" s="67"/>
      <c r="D7" s="67"/>
      <c r="E7" s="63"/>
      <c r="F7" s="63"/>
      <c r="G7" s="63"/>
      <c r="H7" s="63"/>
    </row>
    <row r="8" spans="1:12" s="68" customFormat="1" ht="14.1" hidden="1" customHeight="1">
      <c r="A8" s="77">
        <v>2012</v>
      </c>
      <c r="B8" s="92">
        <f>$B$55</f>
        <v>163434</v>
      </c>
      <c r="C8" s="69"/>
      <c r="D8" s="67"/>
      <c r="E8" s="63"/>
      <c r="F8" s="63"/>
      <c r="G8" s="63"/>
      <c r="H8" s="63"/>
    </row>
    <row r="9" spans="1:12" s="68" customFormat="1" ht="14.1" customHeight="1">
      <c r="A9" s="77">
        <v>2018</v>
      </c>
      <c r="B9" s="92">
        <f>$B$55</f>
        <v>163434</v>
      </c>
      <c r="C9" s="67"/>
      <c r="D9" s="67"/>
      <c r="E9" s="63"/>
      <c r="F9" s="63"/>
      <c r="G9" s="63"/>
      <c r="H9" s="63"/>
    </row>
    <row r="10" spans="1:12" s="68" customFormat="1" ht="14.1" customHeight="1">
      <c r="A10" s="77">
        <v>2019</v>
      </c>
      <c r="B10" s="92">
        <f>$C$55</f>
        <v>174827</v>
      </c>
      <c r="C10" s="67"/>
      <c r="D10" s="67"/>
      <c r="E10" s="63"/>
      <c r="F10" s="63"/>
      <c r="G10" s="63"/>
      <c r="H10" s="63"/>
    </row>
    <row r="11" spans="1:12" s="68" customFormat="1" ht="14.1" customHeight="1">
      <c r="A11" s="77">
        <v>2020</v>
      </c>
      <c r="B11" s="92">
        <f>$D$55</f>
        <v>88578</v>
      </c>
      <c r="C11" s="67"/>
      <c r="D11" s="67"/>
      <c r="E11" s="63"/>
      <c r="F11" s="63"/>
      <c r="G11" s="63"/>
      <c r="H11" s="63"/>
    </row>
    <row r="12" spans="1:12" s="68" customFormat="1" ht="14.1" customHeight="1">
      <c r="A12" s="77">
        <v>2021</v>
      </c>
      <c r="B12" s="92">
        <f>$E$55</f>
        <v>92502</v>
      </c>
      <c r="C12" s="67"/>
      <c r="D12" s="67"/>
      <c r="E12" s="63"/>
      <c r="F12" s="63"/>
      <c r="G12" s="63"/>
      <c r="H12" s="63"/>
    </row>
    <row r="13" spans="1:12" s="68" customFormat="1" ht="14.1" customHeight="1">
      <c r="A13" s="77">
        <v>2022</v>
      </c>
      <c r="B13" s="92">
        <f>$F$55</f>
        <v>78858</v>
      </c>
      <c r="C13" s="67"/>
      <c r="D13" s="67"/>
      <c r="E13" s="63"/>
      <c r="F13" s="63"/>
      <c r="G13" s="63"/>
      <c r="H13" s="63"/>
    </row>
    <row r="14" spans="1:12" s="68" customFormat="1" ht="14.1" customHeight="1">
      <c r="A14" s="79" t="s">
        <v>314</v>
      </c>
      <c r="B14" s="92">
        <f>B13-B12</f>
        <v>-13644</v>
      </c>
      <c r="C14" s="67"/>
      <c r="D14" s="67"/>
      <c r="E14" s="63"/>
      <c r="F14" s="63"/>
      <c r="G14" s="63"/>
      <c r="H14" s="63"/>
    </row>
    <row r="15" spans="1:12" s="3" customFormat="1" ht="18.75">
      <c r="A15" s="71"/>
      <c r="B15" s="365"/>
      <c r="C15" s="365"/>
      <c r="D15" s="365"/>
      <c r="E15" s="366"/>
      <c r="F15" s="366"/>
      <c r="G15" s="366"/>
      <c r="H15" s="72"/>
    </row>
    <row r="16" spans="1:12" hidden="1">
      <c r="A16" s="83" t="s">
        <v>186</v>
      </c>
      <c r="B16" s="47" t="s">
        <v>45</v>
      </c>
      <c r="G16" s="311"/>
      <c r="H16" s="311"/>
      <c r="I16" s="311"/>
      <c r="J16" s="311"/>
      <c r="K16" s="2"/>
      <c r="L16" s="2"/>
    </row>
    <row r="17" spans="1:12" ht="27">
      <c r="A17" s="47" t="s">
        <v>156</v>
      </c>
      <c r="B17" s="48">
        <v>2018</v>
      </c>
      <c r="C17" s="48">
        <v>2019</v>
      </c>
      <c r="D17" s="48">
        <v>2020</v>
      </c>
      <c r="E17" s="48">
        <v>2021</v>
      </c>
      <c r="F17" s="48">
        <v>2022</v>
      </c>
      <c r="G17" s="313" t="s">
        <v>333</v>
      </c>
      <c r="H17" s="313" t="s">
        <v>334</v>
      </c>
      <c r="I17" s="313" t="s">
        <v>333</v>
      </c>
      <c r="J17" s="313" t="s">
        <v>335</v>
      </c>
      <c r="K17" s="2"/>
      <c r="L17" s="2"/>
    </row>
    <row r="18" spans="1:12">
      <c r="A18" s="49" t="s">
        <v>49</v>
      </c>
      <c r="B18" s="50">
        <v>151410</v>
      </c>
      <c r="C18" s="50">
        <v>167272</v>
      </c>
      <c r="D18" s="50">
        <v>84639</v>
      </c>
      <c r="E18" s="50">
        <v>89013</v>
      </c>
      <c r="F18" s="50">
        <v>73362</v>
      </c>
      <c r="G18" s="332">
        <f>((GETPIVOTDATA("certificacion",$A$16,"sost","Estatal","Año",2022)/GETPIVOTDATA("certificacion",$A$16,"sost","Estatal","Año",2021))-1)*100</f>
        <v>-17.582824980620803</v>
      </c>
      <c r="H18" s="320">
        <f>GETPIVOTDATA("certificacion",$A$16,"sost","Estatal","Año",2022)-GETPIVOTDATA("certificacion",$A$16,"sost","Estatal","Año",2021)</f>
        <v>-15651</v>
      </c>
      <c r="I18" s="332">
        <f>((GETPIVOTDATA("certificacion",$A$16,"sost","Estatal","Año",2022)/GETPIVOTDATA("certificacion",$A$16,"sost","Estatal","Año",2021))-1)*100</f>
        <v>-17.582824980620803</v>
      </c>
      <c r="J18" s="320">
        <f>GETPIVOTDATA("certificacion",$A$16,"sost","Estatal","Año",2022)-GETPIVOTDATA("certificacion",$A$16,"sost","Estatal","Año",2018)</f>
        <v>-78048</v>
      </c>
      <c r="K18" s="2"/>
      <c r="L18" s="2"/>
    </row>
    <row r="19" spans="1:12">
      <c r="A19" s="51" t="s">
        <v>1</v>
      </c>
      <c r="B19" s="50">
        <v>1532</v>
      </c>
      <c r="C19" s="50">
        <v>837</v>
      </c>
      <c r="D19" s="50">
        <v>1004</v>
      </c>
      <c r="E19" s="50">
        <v>2240</v>
      </c>
      <c r="F19" s="50">
        <v>2391</v>
      </c>
      <c r="G19" s="306">
        <f>((GETPIVOTDATA("certificacion",$A$16,"sost","Estatal","entidad","Aguascalientes","Año",2022)/GETPIVOTDATA("certificacion",$A$16,"sost","Estatal","entidad","Aguascalientes","Año",2021))-1)*100</f>
        <v>6.7410714285714324</v>
      </c>
      <c r="H19" s="321">
        <f>GETPIVOTDATA("certificacion",$A$16,"sost","Estatal","entidad","Aguascalientes","Año",2022)-GETPIVOTDATA("certificacion",$A$16,"sost","Estatal","entidad","Aguascalientes","Año",2021)</f>
        <v>151</v>
      </c>
      <c r="I19" s="306">
        <f>((GETPIVOTDATA("certificacion",$A$16,"sost","Estatal","entidad","Aguascalientes","Año",2022)/GETPIVOTDATA("certificacion",$A$16,"sost","Estatal","entidad","Aguascalientes","Año",2021))-1)*100</f>
        <v>6.7410714285714324</v>
      </c>
      <c r="J19" s="321">
        <f>GETPIVOTDATA("certificacion",$A$16,"sost","Estatal","entidad","Aguascalientes","Año",2022)-GETPIVOTDATA("certificacion",$A$16,"sost","Estatal","entidad","Aguascalientes","Año",2018)</f>
        <v>859</v>
      </c>
      <c r="K19" s="2"/>
      <c r="L19" s="2"/>
    </row>
    <row r="20" spans="1:12">
      <c r="A20" s="51" t="s">
        <v>3</v>
      </c>
      <c r="B20" s="50">
        <v>66</v>
      </c>
      <c r="C20" s="50">
        <v>3004</v>
      </c>
      <c r="D20" s="50">
        <v>2590</v>
      </c>
      <c r="E20" s="50">
        <v>1131</v>
      </c>
      <c r="F20" s="50">
        <v>1678</v>
      </c>
      <c r="G20" s="307">
        <f>((GETPIVOTDATA("certificacion",$A$16,"sost","Estatal","entidad","Baja California","Año",2022)/GETPIVOTDATA("certificacion",$A$16,"sost","Estatal","entidad","Baja California","Año",2021))-1)*100</f>
        <v>48.364279398762157</v>
      </c>
      <c r="H20" s="322">
        <f>GETPIVOTDATA("certificacion",$A$16,"sost","Estatal","entidad","Baja California","Año",2022)-GETPIVOTDATA("certificacion",$A$16,"sost","Estatal","entidad","Baja California","Año",2021)</f>
        <v>547</v>
      </c>
      <c r="I20" s="307">
        <f>((GETPIVOTDATA("certificacion",$A$16,"sost","Estatal","entidad","Baja California","Año",2022)/GETPIVOTDATA("certificacion",$A$16,"sost","Estatal","entidad","Baja California","Año",2018))-1)*100</f>
        <v>2442.4242424242425</v>
      </c>
      <c r="J20" s="322">
        <f>GETPIVOTDATA("certificacion",$A$16,"sost","Estatal","entidad","Baja California","Año",2022)-GETPIVOTDATA("certificacion",$A$16,"sost","Estatal","entidad","Baja California","Año",2018)</f>
        <v>1612</v>
      </c>
      <c r="K20" s="2"/>
      <c r="L20" s="2"/>
    </row>
    <row r="21" spans="1:12">
      <c r="A21" s="51" t="s">
        <v>4</v>
      </c>
      <c r="B21" s="50">
        <v>26</v>
      </c>
      <c r="C21" s="50">
        <v>1</v>
      </c>
      <c r="D21" s="50">
        <v>13</v>
      </c>
      <c r="E21" s="50">
        <v>0</v>
      </c>
      <c r="F21" s="50">
        <v>0</v>
      </c>
      <c r="G21" s="306">
        <v>0</v>
      </c>
      <c r="H21" s="321">
        <f>GETPIVOTDATA("certificacion",$A$16,"sost","Estatal","entidad","Baja California Sur","Año",2022)-GETPIVOTDATA("certificacion",$A$16,"sost","Estatal","entidad","Baja California Sur","Año",2021)</f>
        <v>0</v>
      </c>
      <c r="I21" s="306">
        <v>0</v>
      </c>
      <c r="J21" s="321">
        <f>GETPIVOTDATA("certificacion",$A$16,"sost","Estatal","entidad","Baja California Sur","Año",2022)-GETPIVOTDATA("certificacion",$A$16,"sost","Estatal","entidad","Baja California Sur","Año",2018)</f>
        <v>-26</v>
      </c>
      <c r="K21" s="2"/>
      <c r="L21" s="2"/>
    </row>
    <row r="22" spans="1:12">
      <c r="A22" s="51" t="s">
        <v>5</v>
      </c>
      <c r="B22" s="50">
        <v>412</v>
      </c>
      <c r="C22" s="50">
        <v>1206</v>
      </c>
      <c r="D22" s="50">
        <v>73</v>
      </c>
      <c r="E22" s="50">
        <v>765</v>
      </c>
      <c r="F22" s="50">
        <v>259</v>
      </c>
      <c r="G22" s="307">
        <f>((GETPIVOTDATA("certificacion",$A$16,"sost","Estatal","entidad","Campeche","Año",2022)/GETPIVOTDATA("certificacion",$A$16,"sost","Estatal","entidad","Campeche","Año",2021))-1)*100</f>
        <v>-66.143790849673195</v>
      </c>
      <c r="H22" s="322">
        <f>GETPIVOTDATA("certificacion",$A$16,"sost","Estatal","entidad","Campeche","Año",2022)-GETPIVOTDATA("certificacion",$A$16,"sost","Estatal","entidad","Campeche","Año",2021)</f>
        <v>-506</v>
      </c>
      <c r="I22" s="307">
        <f>((GETPIVOTDATA("certificacion",$A$16,"sost","Estatal","entidad","Campeche","Año",2022)/GETPIVOTDATA("certificacion",$A$16,"sost","Estatal","entidad","Campeche","Año",2018))-1)*100</f>
        <v>-37.135922330097081</v>
      </c>
      <c r="J22" s="322">
        <f>GETPIVOTDATA("certificacion",$A$16,"sost","Estatal","entidad","Campeche","Año",2022)-GETPIVOTDATA("certificacion",$A$16,"sost","Estatal","entidad","Campeche","Año",2018)</f>
        <v>-153</v>
      </c>
      <c r="K22" s="2"/>
      <c r="L22" s="2"/>
    </row>
    <row r="23" spans="1:12">
      <c r="A23" s="51" t="s">
        <v>6</v>
      </c>
      <c r="B23" s="50">
        <v>92</v>
      </c>
      <c r="C23" s="50">
        <v>970</v>
      </c>
      <c r="D23" s="50">
        <v>213</v>
      </c>
      <c r="E23" s="50">
        <v>541</v>
      </c>
      <c r="F23" s="50">
        <v>758</v>
      </c>
      <c r="G23" s="306">
        <f>((GETPIVOTDATA("certificacion",$A$16,"sost","Estatal","entidad","Chiapas","Año",2022)/GETPIVOTDATA("certificacion",$A$16,"sost","Estatal","entidad","Chiapas","Año",2021))-1)*100</f>
        <v>40.110905730129389</v>
      </c>
      <c r="H23" s="321">
        <f>GETPIVOTDATA("certificacion",$A$16,"sost","Estatal","entidad","Chiapas","Año",2022)-GETPIVOTDATA("certificacion",$A$16,"sost","Estatal","entidad","Chiapas","Año",2021)</f>
        <v>217</v>
      </c>
      <c r="I23" s="306">
        <f>((GETPIVOTDATA("certificacion",$A$16,"sost","Estatal","entidad","Chiapas","Año",2022)/GETPIVOTDATA("certificacion",$A$16,"sost","Estatal","entidad","Chiapas","Año",2018))-1)*100</f>
        <v>723.91304347826099</v>
      </c>
      <c r="J23" s="321">
        <f>GETPIVOTDATA("certificacion",$A$16,"sost","Estatal","entidad","Chiapas","Año",2022)-GETPIVOTDATA("certificacion",$A$16,"sost","Estatal","entidad","Chiapas","Año",2018)</f>
        <v>666</v>
      </c>
      <c r="K23" s="2"/>
      <c r="L23" s="2"/>
    </row>
    <row r="24" spans="1:12">
      <c r="A24" s="51" t="s">
        <v>7</v>
      </c>
      <c r="B24" s="50">
        <v>752</v>
      </c>
      <c r="C24" s="50">
        <v>1449</v>
      </c>
      <c r="D24" s="50">
        <v>251</v>
      </c>
      <c r="E24" s="50">
        <v>166</v>
      </c>
      <c r="F24" s="50">
        <v>39</v>
      </c>
      <c r="G24" s="307">
        <f>((GETPIVOTDATA("certificacion",$A$16,"sost","Estatal","entidad","Chihuahua","Año",2022)/GETPIVOTDATA("certificacion",$A$16,"sost","Estatal","entidad","Chihuahua","Año",2021))-1)*100</f>
        <v>-76.506024096385545</v>
      </c>
      <c r="H24" s="322">
        <f>GETPIVOTDATA("certificacion",$A$16,"sost","Estatal","entidad","Chihuahua","Año",2022)-GETPIVOTDATA("certificacion",$A$16,"sost","Estatal","entidad","Chihuahua","Año",2021)</f>
        <v>-127</v>
      </c>
      <c r="I24" s="307">
        <f>((GETPIVOTDATA("certificacion",$A$16,"sost","Estatal","entidad","Chihuahua","Año",2022)/GETPIVOTDATA("certificacion",$A$16,"sost","Estatal","entidad","Chihuahua","Año",2018))-1)*100</f>
        <v>-94.813829787234042</v>
      </c>
      <c r="J24" s="322">
        <f>GETPIVOTDATA("certificacion",$A$16,"sost","Estatal","entidad","Chihuahua","Año",2022)-GETPIVOTDATA("certificacion",$A$16,"sost","Estatal","entidad","Chihuahua","Año",2018)</f>
        <v>-713</v>
      </c>
      <c r="K24" s="2"/>
      <c r="L24" s="2"/>
    </row>
    <row r="25" spans="1:12">
      <c r="A25" s="51" t="s">
        <v>31</v>
      </c>
      <c r="B25" s="50">
        <v>335</v>
      </c>
      <c r="C25" s="50">
        <v>468</v>
      </c>
      <c r="D25" s="50">
        <v>163</v>
      </c>
      <c r="E25" s="50">
        <v>24</v>
      </c>
      <c r="F25" s="50">
        <v>52</v>
      </c>
      <c r="G25" s="306">
        <f>((GETPIVOTDATA("certificacion",$A$16,"sost","Estatal","entidad","Coahuila de Zaragoza","Año",2022)/GETPIVOTDATA("certificacion",$A$16,"sost","Estatal","entidad","Coahuila de Zaragoza","Año",2021))-1)*100</f>
        <v>116.66666666666666</v>
      </c>
      <c r="H25" s="321">
        <f>GETPIVOTDATA("certificacion",$A$16,"sost","Estatal","entidad","Coahuila de Zaragoza","Año",2022)-GETPIVOTDATA("certificacion",$A$16,"sost","Estatal","entidad","Coahuila de Zaragoza","Año",2021)</f>
        <v>28</v>
      </c>
      <c r="I25" s="306">
        <f>((GETPIVOTDATA("certificacion",$A$16,"sost","Estatal","entidad","Coahuila de Zaragoza","Año",2022)/GETPIVOTDATA("certificacion",$A$16,"sost","Estatal","entidad","Coahuila de Zaragoza","Año",2018))-1)*100</f>
        <v>-84.477611940298502</v>
      </c>
      <c r="J25" s="321">
        <f>GETPIVOTDATA("certificacion",$A$16,"sost","Estatal","entidad","Coahuila de Zaragoza","Año",2022)-GETPIVOTDATA("certificacion",$A$16,"sost","Estatal","entidad","Coahuila de Zaragoza","Año",2018)</f>
        <v>-283</v>
      </c>
      <c r="K25" s="2"/>
      <c r="L25" s="2"/>
    </row>
    <row r="26" spans="1:12">
      <c r="A26" s="51" t="s">
        <v>8</v>
      </c>
      <c r="B26" s="50">
        <v>215</v>
      </c>
      <c r="C26" s="50">
        <v>341</v>
      </c>
      <c r="D26" s="50">
        <v>23</v>
      </c>
      <c r="E26" s="50">
        <v>15</v>
      </c>
      <c r="F26" s="50">
        <v>114</v>
      </c>
      <c r="G26" s="307">
        <f>((GETPIVOTDATA("certificacion",$A$16,"sost","Estatal","entidad","Colima","Año",2022)/GETPIVOTDATA("certificacion",$A$16,"sost","Estatal","entidad","Colima","Año",2021))-1)*100</f>
        <v>660</v>
      </c>
      <c r="H26" s="322">
        <f>GETPIVOTDATA("certificacion",$A$16,"sost","Estatal","entidad","Colima","Año",2022)-GETPIVOTDATA("certificacion",$A$16,"sost","Estatal","entidad","Colima","Año",2021)</f>
        <v>99</v>
      </c>
      <c r="I26" s="307">
        <f>((GETPIVOTDATA("certificacion",$A$16,"sost","Estatal","entidad","Colima","Año",2022)/GETPIVOTDATA("certificacion",$A$16,"sost","Estatal","entidad","Colima","Año",2018))-1)*100</f>
        <v>-46.976744186046517</v>
      </c>
      <c r="J26" s="322">
        <f>GETPIVOTDATA("certificacion",$A$16,"sost","Estatal","entidad","Colima","Año",2022)-GETPIVOTDATA("certificacion",$A$16,"sost","Estatal","entidad","Colima","Año",2018)</f>
        <v>-101</v>
      </c>
      <c r="K26" s="2"/>
      <c r="L26" s="2"/>
    </row>
    <row r="27" spans="1:12">
      <c r="A27" s="51" t="s">
        <v>9</v>
      </c>
      <c r="B27" s="50">
        <v>223</v>
      </c>
      <c r="C27" s="50">
        <v>139</v>
      </c>
      <c r="D27" s="50">
        <v>215</v>
      </c>
      <c r="E27" s="50">
        <v>26</v>
      </c>
      <c r="F27" s="50">
        <v>48</v>
      </c>
      <c r="G27" s="306">
        <f>((GETPIVOTDATA("certificacion",$A$16,"sost","Estatal","entidad","Durango","Año",2022)/GETPIVOTDATA("certificacion",$A$16,"sost","Estatal","entidad","Durango","Año",2021))-1)*100</f>
        <v>84.615384615384627</v>
      </c>
      <c r="H27" s="321">
        <f>GETPIVOTDATA("certificacion",$A$16,"sost","Estatal","entidad","Durango","Año",2022)-GETPIVOTDATA("certificacion",$A$16,"sost","Estatal","entidad","Durango","Año",2021)</f>
        <v>22</v>
      </c>
      <c r="I27" s="306">
        <f>((GETPIVOTDATA("certificacion",$A$16,"sost","Estatal","entidad","Durango","Año",2022)/GETPIVOTDATA("certificacion",$A$16,"sost","Estatal","entidad","Durango","Año",2018))-1)*100</f>
        <v>-78.475336322869964</v>
      </c>
      <c r="J27" s="321">
        <f>GETPIVOTDATA("certificacion",$A$16,"sost","Estatal","entidad","Durango","Año",2022)-GETPIVOTDATA("certificacion",$A$16,"sost","Estatal","entidad","Durango","Año",2018)</f>
        <v>-175</v>
      </c>
      <c r="K27" s="2"/>
      <c r="L27" s="2"/>
    </row>
    <row r="28" spans="1:12">
      <c r="A28" s="51" t="s">
        <v>10</v>
      </c>
      <c r="B28" s="50">
        <v>6410</v>
      </c>
      <c r="C28" s="50">
        <v>2222</v>
      </c>
      <c r="D28" s="50">
        <v>169</v>
      </c>
      <c r="E28" s="50">
        <v>96</v>
      </c>
      <c r="F28" s="50">
        <v>278</v>
      </c>
      <c r="G28" s="307">
        <f>((GETPIVOTDATA("certificacion",$A$16,"sost","Estatal","entidad","Guanajuato","Año",2022)/GETPIVOTDATA("certificacion",$A$16,"sost","Estatal","entidad","Guanajuato","Año",2021))-1)*100</f>
        <v>189.58333333333334</v>
      </c>
      <c r="H28" s="322">
        <f>GETPIVOTDATA("certificacion",$A$16,"sost","Estatal","entidad","Guanajuato","Año",2022)-GETPIVOTDATA("certificacion",$A$16,"sost","Estatal","entidad","Guanajuato","Año",2021)</f>
        <v>182</v>
      </c>
      <c r="I28" s="307">
        <f>((GETPIVOTDATA("certificacion",$A$16,"sost","Estatal","entidad","Guanajuato","Año",2022)/GETPIVOTDATA("certificacion",$A$16,"sost","Estatal","entidad","Guanajuato","Año",2018))-1)*100</f>
        <v>-95.663026521060843</v>
      </c>
      <c r="J28" s="322">
        <f>GETPIVOTDATA("certificacion",$A$16,"sost","Estatal","entidad","Guanajuato","Año",2022)-GETPIVOTDATA("certificacion",$A$16,"sost","Estatal","entidad","Guanajuato","Año",2018)</f>
        <v>-6132</v>
      </c>
      <c r="K28" s="2"/>
      <c r="L28" s="2"/>
    </row>
    <row r="29" spans="1:12">
      <c r="A29" s="51" t="s">
        <v>11</v>
      </c>
      <c r="B29" s="50">
        <v>852</v>
      </c>
      <c r="C29" s="50">
        <v>1392</v>
      </c>
      <c r="D29" s="50">
        <v>228</v>
      </c>
      <c r="E29" s="50">
        <v>20</v>
      </c>
      <c r="F29" s="50">
        <v>168</v>
      </c>
      <c r="G29" s="306">
        <f>((GETPIVOTDATA("certificacion",$A$16,"sost","Estatal","entidad","Guerrero","Año",2022)/GETPIVOTDATA("certificacion",$A$16,"sost","Estatal","entidad","Guerrero","Año",2021))-1)*100</f>
        <v>740</v>
      </c>
      <c r="H29" s="321">
        <f>GETPIVOTDATA("certificacion",$A$16,"sost","Estatal","entidad","Guerrero","Año",2022)-GETPIVOTDATA("certificacion",$A$16,"sost","Estatal","entidad","Guerrero","Año",2021)</f>
        <v>148</v>
      </c>
      <c r="I29" s="306">
        <f>((GETPIVOTDATA("certificacion",$A$16,"sost","Estatal","entidad","Guerrero","Año",2022)/GETPIVOTDATA("certificacion",$A$16,"sost","Estatal","entidad","Guerrero","Año",2018))-1)*100</f>
        <v>-80.281690140845072</v>
      </c>
      <c r="J29" s="321">
        <f>GETPIVOTDATA("certificacion",$A$16,"sost","Estatal","entidad","Guerrero","Año",2022)-GETPIVOTDATA("certificacion",$A$16,"sost","Estatal","entidad","Guerrero","Año",2018)</f>
        <v>-684</v>
      </c>
      <c r="K29" s="2"/>
      <c r="L29" s="2"/>
    </row>
    <row r="30" spans="1:12">
      <c r="A30" s="51" t="s">
        <v>12</v>
      </c>
      <c r="B30" s="50">
        <v>105</v>
      </c>
      <c r="C30" s="50">
        <v>391</v>
      </c>
      <c r="D30" s="50">
        <v>69</v>
      </c>
      <c r="E30" s="50">
        <v>76</v>
      </c>
      <c r="F30" s="50">
        <v>195</v>
      </c>
      <c r="G30" s="307">
        <f>((GETPIVOTDATA("certificacion",$A$16,"sost","Estatal","entidad","Hidalgo","Año",2022)/GETPIVOTDATA("certificacion",$A$16,"sost","Estatal","entidad","Hidalgo","Año",2021))-1)*100</f>
        <v>156.57894736842107</v>
      </c>
      <c r="H30" s="322">
        <f>GETPIVOTDATA("certificacion",$A$16,"sost","Estatal","entidad","Hidalgo","Año",2022)-GETPIVOTDATA("certificacion",$A$16,"sost","Estatal","entidad","Hidalgo","Año",2021)</f>
        <v>119</v>
      </c>
      <c r="I30" s="307">
        <f>((GETPIVOTDATA("certificacion",$A$16,"sost","Estatal","entidad","Hidalgo","Año",2022)/GETPIVOTDATA("certificacion",$A$16,"sost","Estatal","entidad","Hidalgo","Año",2018))-1)*100</f>
        <v>85.714285714285722</v>
      </c>
      <c r="J30" s="322">
        <f>GETPIVOTDATA("certificacion",$A$16,"sost","Estatal","entidad","Hidalgo","Año",2022)-GETPIVOTDATA("certificacion",$A$16,"sost","Estatal","entidad","Hidalgo","Año",2018)</f>
        <v>90</v>
      </c>
      <c r="K30" s="2"/>
      <c r="L30" s="2"/>
    </row>
    <row r="31" spans="1:12">
      <c r="A31" s="51" t="s">
        <v>13</v>
      </c>
      <c r="B31" s="50">
        <v>158</v>
      </c>
      <c r="C31" s="50">
        <v>503</v>
      </c>
      <c r="D31" s="50">
        <v>187</v>
      </c>
      <c r="E31" s="50">
        <v>189</v>
      </c>
      <c r="F31" s="50">
        <v>337</v>
      </c>
      <c r="G31" s="306">
        <f>((GETPIVOTDATA("certificacion",$A$16,"sost","Estatal","entidad","Jalisco","Año",2022)/GETPIVOTDATA("certificacion",$A$16,"sost","Estatal","entidad","Jalisco","Año",2021))-1)*100</f>
        <v>78.306878306878303</v>
      </c>
      <c r="H31" s="321">
        <f>GETPIVOTDATA("certificacion",$A$16,"sost","Estatal","entidad","Jalisco","Año",2022)-GETPIVOTDATA("certificacion",$A$16,"sost","Estatal","entidad","Jalisco","Año",2021)</f>
        <v>148</v>
      </c>
      <c r="I31" s="306">
        <f>((GETPIVOTDATA("certificacion",$A$16,"sost","Estatal","entidad","Jalisco","Año",2022)/GETPIVOTDATA("certificacion",$A$16,"sost","Estatal","entidad","Jalisco","Año",2018))-1)*100</f>
        <v>113.29113924050631</v>
      </c>
      <c r="J31" s="321">
        <f>GETPIVOTDATA("certificacion",$A$16,"sost","Estatal","entidad","Jalisco","Año",2022)-GETPIVOTDATA("certificacion",$A$16,"sost","Estatal","entidad","Jalisco","Año",2018)</f>
        <v>179</v>
      </c>
      <c r="K31" s="2"/>
      <c r="L31" s="2"/>
    </row>
    <row r="32" spans="1:12">
      <c r="A32" s="51" t="s">
        <v>14</v>
      </c>
      <c r="B32" s="50">
        <v>67149</v>
      </c>
      <c r="C32" s="50">
        <v>53013</v>
      </c>
      <c r="D32" s="50">
        <v>18550</v>
      </c>
      <c r="E32" s="50">
        <v>1171</v>
      </c>
      <c r="F32" s="50">
        <v>38684</v>
      </c>
      <c r="G32" s="307">
        <f>((GETPIVOTDATA("certificacion",$A$16,"sost","Estatal","entidad","México","Año",2022)/GETPIVOTDATA("certificacion",$A$16,"sost","Estatal","entidad","México","Año",2021))-1)*100</f>
        <v>3203.5012809564478</v>
      </c>
      <c r="H32" s="322">
        <f>GETPIVOTDATA("certificacion",$A$16,"sost","Estatal","entidad","México","Año",2022)-GETPIVOTDATA("certificacion",$A$16,"sost","Estatal","entidad","México","Año",2021)</f>
        <v>37513</v>
      </c>
      <c r="I32" s="307">
        <f>((GETPIVOTDATA("certificacion",$A$16,"sost","Estatal","entidad","México","Año",2022)/GETPIVOTDATA("certificacion",$A$16,"sost","Estatal","entidad","México","Año",2018))-1)*100</f>
        <v>-42.390802543597076</v>
      </c>
      <c r="J32" s="322">
        <f>GETPIVOTDATA("certificacion",$A$16,"sost","Estatal","entidad","México","Año",2022)-GETPIVOTDATA("certificacion",$A$16,"sost","Estatal","entidad","México","Año",2018)</f>
        <v>-28465</v>
      </c>
      <c r="K32" s="2"/>
      <c r="L32" s="2"/>
    </row>
    <row r="33" spans="1:12">
      <c r="A33" s="51" t="s">
        <v>30</v>
      </c>
      <c r="B33" s="50">
        <v>7206</v>
      </c>
      <c r="C33" s="50">
        <v>15671</v>
      </c>
      <c r="D33" s="50">
        <v>10045</v>
      </c>
      <c r="E33" s="50">
        <v>4994</v>
      </c>
      <c r="F33" s="50">
        <v>7992</v>
      </c>
      <c r="G33" s="306">
        <f>((GETPIVOTDATA("certificacion",$A$16,"sost","Estatal","entidad","Michoacán de Ocampo","Año",2022)/GETPIVOTDATA("certificacion",$A$16,"sost","Estatal","entidad","Michoacán de Ocampo","Año",2021))-1)*100</f>
        <v>60.03203844613536</v>
      </c>
      <c r="H33" s="321">
        <f>GETPIVOTDATA("certificacion",$A$16,"sost","Estatal","entidad","Michoacán de Ocampo","Año",2022)-GETPIVOTDATA("certificacion",$A$16,"sost","Estatal","entidad","Michoacán de Ocampo","Año",2021)</f>
        <v>2998</v>
      </c>
      <c r="I33" s="306">
        <f>((GETPIVOTDATA("certificacion",$A$16,"sost","Estatal","entidad","Michoacán de Ocampo","Año",2022)/GETPIVOTDATA("certificacion",$A$16,"sost","Estatal","entidad","Michoacán de Ocampo","Año",2018))-1)*100</f>
        <v>10.907577019150704</v>
      </c>
      <c r="J33" s="321">
        <f>GETPIVOTDATA("certificacion",$A$16,"sost","Estatal","entidad","Michoacán de Ocampo","Año",2022)-GETPIVOTDATA("certificacion",$A$16,"sost","Estatal","entidad","Michoacán de Ocampo","Año",2018)</f>
        <v>786</v>
      </c>
      <c r="K33" s="2"/>
      <c r="L33" s="2"/>
    </row>
    <row r="34" spans="1:12">
      <c r="A34" s="51" t="s">
        <v>15</v>
      </c>
      <c r="B34" s="50">
        <v>1873</v>
      </c>
      <c r="C34" s="50">
        <v>1116</v>
      </c>
      <c r="D34" s="50">
        <v>1663</v>
      </c>
      <c r="E34" s="50">
        <v>991</v>
      </c>
      <c r="F34" s="50">
        <v>725</v>
      </c>
      <c r="G34" s="307">
        <f>((GETPIVOTDATA("certificacion",$A$16,"sost","Estatal","entidad","Morelos","Año",2022)/GETPIVOTDATA("certificacion",$A$16,"sost","Estatal","entidad","Morelos","Año",2021))-1)*100</f>
        <v>-26.841574167507567</v>
      </c>
      <c r="H34" s="322">
        <f>GETPIVOTDATA("certificacion",$A$16,"sost","Estatal","entidad","Morelos","Año",2022)-GETPIVOTDATA("certificacion",$A$16,"sost","Estatal","entidad","Morelos","Año",2021)</f>
        <v>-266</v>
      </c>
      <c r="I34" s="307">
        <f>((GETPIVOTDATA("certificacion",$A$16,"sost","Estatal","entidad","Morelos","Año",2022)/GETPIVOTDATA("certificacion",$A$16,"sost","Estatal","entidad","Morelos","Año",2018))-1)*100</f>
        <v>-61.292044847837701</v>
      </c>
      <c r="J34" s="322">
        <f>GETPIVOTDATA("certificacion",$A$16,"sost","Estatal","entidad","Morelos","Año",2022)-GETPIVOTDATA("certificacion",$A$16,"sost","Estatal","entidad","Morelos","Año",2018)</f>
        <v>-1148</v>
      </c>
      <c r="K34" s="2"/>
      <c r="L34" s="2"/>
    </row>
    <row r="35" spans="1:12">
      <c r="A35" s="51" t="s">
        <v>16</v>
      </c>
      <c r="B35" s="50">
        <v>2</v>
      </c>
      <c r="C35" s="50">
        <v>248</v>
      </c>
      <c r="D35" s="50">
        <v>49</v>
      </c>
      <c r="E35" s="50">
        <v>0</v>
      </c>
      <c r="F35" s="50">
        <v>0</v>
      </c>
      <c r="G35" s="306">
        <v>0</v>
      </c>
      <c r="H35" s="321">
        <f>GETPIVOTDATA("certificacion",$A$16,"sost","Estatal","entidad","Nayarit","Año",2022)-GETPIVOTDATA("certificacion",$A$16,"sost","Estatal","entidad","Nayarit","Año",2021)</f>
        <v>0</v>
      </c>
      <c r="I35" s="306">
        <v>0</v>
      </c>
      <c r="J35" s="321">
        <f>GETPIVOTDATA("certificacion",$A$16,"sost","Estatal","entidad","Nayarit","Año",2022)-GETPIVOTDATA("certificacion",$A$16,"sost","Estatal","entidad","Nayarit","Año",2018)</f>
        <v>-2</v>
      </c>
      <c r="K35" s="2"/>
      <c r="L35" s="2"/>
    </row>
    <row r="36" spans="1:12">
      <c r="A36" s="51" t="s">
        <v>17</v>
      </c>
      <c r="B36" s="50">
        <v>58432</v>
      </c>
      <c r="C36" s="50">
        <v>71574</v>
      </c>
      <c r="D36" s="50">
        <v>46714</v>
      </c>
      <c r="E36" s="50">
        <v>73570</v>
      </c>
      <c r="F36" s="50">
        <v>15471</v>
      </c>
      <c r="G36" s="307">
        <f>((GETPIVOTDATA("certificacion",$A$16,"sost","Estatal","entidad","Nuevo León","Año",2022)/GETPIVOTDATA("certificacion",$A$16,"sost","Estatal","entidad","Nuevo León","Año",2021))-1)*100</f>
        <v>-78.971047981514204</v>
      </c>
      <c r="H36" s="322">
        <f>GETPIVOTDATA("certificacion",$A$16,"sost","Estatal","entidad","Nuevo León","Año",2022)-GETPIVOTDATA("certificacion",$A$16,"sost","Estatal","entidad","Nuevo León","Año",2021)</f>
        <v>-58099</v>
      </c>
      <c r="I36" s="307">
        <f>((GETPIVOTDATA("certificacion",$A$16,"sost","Estatal","entidad","Nuevo León","Año",2022)/GETPIVOTDATA("certificacion",$A$16,"sost","Estatal","entidad","Nuevo León","Año",2018))-1)*100</f>
        <v>-73.523069550930998</v>
      </c>
      <c r="J36" s="322">
        <f>GETPIVOTDATA("certificacion",$A$16,"sost","Estatal","entidad","Nuevo León","Año",2022)-GETPIVOTDATA("certificacion",$A$16,"sost","Estatal","entidad","Nuevo León","Año",2018)</f>
        <v>-42961</v>
      </c>
      <c r="K36" s="2"/>
      <c r="L36" s="2"/>
    </row>
    <row r="37" spans="1:12">
      <c r="A37" s="51" t="s">
        <v>18</v>
      </c>
      <c r="B37" s="50">
        <v>3346</v>
      </c>
      <c r="C37" s="50">
        <v>4405</v>
      </c>
      <c r="D37" s="50">
        <v>184</v>
      </c>
      <c r="E37" s="50">
        <v>1369</v>
      </c>
      <c r="F37" s="50">
        <v>2498</v>
      </c>
      <c r="G37" s="306">
        <f>((GETPIVOTDATA("certificacion",$A$16,"sost","Estatal","entidad","Puebla","Año",2022)/GETPIVOTDATA("certificacion",$A$16,"sost","Estatal","entidad","Puebla","Año",2021))-1)*100</f>
        <v>82.468955441928401</v>
      </c>
      <c r="H37" s="321">
        <f>GETPIVOTDATA("certificacion",$A$16,"sost","Estatal","entidad","Puebla","Año",2022)-GETPIVOTDATA("certificacion",$A$16,"sost","Estatal","entidad","Puebla","Año",2021)</f>
        <v>1129</v>
      </c>
      <c r="I37" s="306">
        <f>((GETPIVOTDATA("certificacion",$A$16,"sost","Estatal","entidad","Puebla","Año",2022)/GETPIVOTDATA("certificacion",$A$16,"sost","Estatal","entidad","Puebla","Año",2018))-1)*100</f>
        <v>-25.343693962940826</v>
      </c>
      <c r="J37" s="321">
        <f>GETPIVOTDATA("certificacion",$A$16,"sost","Estatal","entidad","Puebla","Año",2022)-GETPIVOTDATA("certificacion",$A$16,"sost","Estatal","entidad","Puebla","Año",2018)</f>
        <v>-848</v>
      </c>
      <c r="K37" s="2"/>
      <c r="L37" s="2"/>
    </row>
    <row r="38" spans="1:12">
      <c r="A38" s="51" t="s">
        <v>29</v>
      </c>
      <c r="B38" s="50">
        <v>2</v>
      </c>
      <c r="C38" s="50">
        <v>382</v>
      </c>
      <c r="D38" s="50">
        <v>81</v>
      </c>
      <c r="E38" s="50">
        <v>10</v>
      </c>
      <c r="F38" s="50">
        <v>12</v>
      </c>
      <c r="G38" s="307">
        <f>((GETPIVOTDATA("certificacion",$A$16,"sost","Estatal","entidad","Querétaro de Arteaga","Año",2022)/GETPIVOTDATA("certificacion",$A$16,"sost","Estatal","entidad","Querétaro de Arteaga","Año",2021))-1)*100</f>
        <v>19.999999999999996</v>
      </c>
      <c r="H38" s="322">
        <f>GETPIVOTDATA("certificacion",$A$16,"sost","Estatal","entidad","Querétaro de Arteaga","Año",2022)-GETPIVOTDATA("certificacion",$A$16,"sost","Estatal","entidad","Querétaro de Arteaga","Año",2021)</f>
        <v>2</v>
      </c>
      <c r="I38" s="307">
        <f>((GETPIVOTDATA("certificacion",$A$16,"sost","Estatal","entidad","Querétaro de Arteaga","Año",2022)/GETPIVOTDATA("certificacion",$A$16,"sost","Estatal","entidad","Querétaro de Arteaga","Año",2018))-1)*100</f>
        <v>500</v>
      </c>
      <c r="J38" s="322">
        <f>GETPIVOTDATA("certificacion",$A$16,"sost","Estatal","entidad","Querétaro de Arteaga","Año",2022)-GETPIVOTDATA("certificacion",$A$16,"sost","Estatal","entidad","Querétaro de Arteaga","Año",2018)</f>
        <v>10</v>
      </c>
      <c r="K38" s="2"/>
      <c r="L38" s="2"/>
    </row>
    <row r="39" spans="1:12">
      <c r="A39" s="51" t="s">
        <v>19</v>
      </c>
      <c r="B39" s="50">
        <v>148</v>
      </c>
      <c r="C39" s="50">
        <v>1523</v>
      </c>
      <c r="D39" s="50">
        <v>49</v>
      </c>
      <c r="E39" s="50">
        <v>119</v>
      </c>
      <c r="F39" s="50">
        <v>225</v>
      </c>
      <c r="G39" s="306">
        <f>((GETPIVOTDATA("certificacion",$A$16,"sost","Estatal","entidad","Quintana Roo","Año",2022)/GETPIVOTDATA("certificacion",$A$16,"sost","Estatal","entidad","Quintana Roo","Año",2021))-1)*100</f>
        <v>89.075630252100837</v>
      </c>
      <c r="H39" s="321">
        <f>GETPIVOTDATA("certificacion",$A$16,"sost","Estatal","entidad","Quintana Roo","Año",2022)-GETPIVOTDATA("certificacion",$A$16,"sost","Estatal","entidad","Quintana Roo","Año",2021)</f>
        <v>106</v>
      </c>
      <c r="I39" s="306">
        <f>((GETPIVOTDATA("certificacion",$A$16,"sost","Estatal","entidad","Quintana Roo","Año",2022)/GETPIVOTDATA("certificacion",$A$16,"sost","Estatal","entidad","Quintana Roo","Año",2018))-1)*100</f>
        <v>52.027027027027017</v>
      </c>
      <c r="J39" s="321">
        <f>GETPIVOTDATA("certificacion",$A$16,"sost","Estatal","entidad","Quintana Roo","Año",2022)-GETPIVOTDATA("certificacion",$A$16,"sost","Estatal","entidad","Quintana Roo","Año",2018)</f>
        <v>77</v>
      </c>
      <c r="K39" s="2"/>
      <c r="L39" s="2"/>
    </row>
    <row r="40" spans="1:12">
      <c r="A40" s="51" t="s">
        <v>20</v>
      </c>
      <c r="B40" s="50">
        <v>556</v>
      </c>
      <c r="C40" s="50">
        <v>942</v>
      </c>
      <c r="D40" s="50">
        <v>159</v>
      </c>
      <c r="E40" s="50">
        <v>153</v>
      </c>
      <c r="F40" s="50">
        <v>93</v>
      </c>
      <c r="G40" s="307">
        <f>((GETPIVOTDATA("certificacion",$A$16,"sost","Estatal","entidad","San Luis Potosí","Año",2022)/GETPIVOTDATA("certificacion",$A$16,"sost","Estatal","entidad","San Luis Potosí","Año",2021))-1)*100</f>
        <v>-39.215686274509807</v>
      </c>
      <c r="H40" s="322">
        <f>GETPIVOTDATA("certificacion",$A$16,"sost","Estatal","entidad","San Luis Potosí","Año",2022)-GETPIVOTDATA("certificacion",$A$16,"sost","Estatal","entidad","San Luis Potosí","Año",2021)</f>
        <v>-60</v>
      </c>
      <c r="I40" s="307">
        <f>((GETPIVOTDATA("certificacion",$A$16,"sost","Estatal","entidad","San Luis Potosí","Año",2022)/GETPIVOTDATA("certificacion",$A$16,"sost","Estatal","entidad","San Luis Potosí","Año",2018))-1)*100</f>
        <v>-83.27338129496404</v>
      </c>
      <c r="J40" s="322">
        <f>GETPIVOTDATA("certificacion",$A$16,"sost","Estatal","entidad","San Luis Potosí","Año",2022)-GETPIVOTDATA("certificacion",$A$16,"sost","Estatal","entidad","San Luis Potosí","Año",2018)</f>
        <v>-463</v>
      </c>
      <c r="K40" s="2"/>
      <c r="L40" s="2"/>
    </row>
    <row r="41" spans="1:12">
      <c r="A41" s="51" t="s">
        <v>21</v>
      </c>
      <c r="B41" s="50">
        <v>14</v>
      </c>
      <c r="C41" s="50">
        <v>2</v>
      </c>
      <c r="D41" s="50">
        <v>0</v>
      </c>
      <c r="E41" s="50">
        <v>0</v>
      </c>
      <c r="F41" s="50">
        <v>0</v>
      </c>
      <c r="G41" s="306">
        <v>0</v>
      </c>
      <c r="H41" s="321">
        <f>GETPIVOTDATA("certificacion",$A$16,"sost","Estatal","entidad","Sinaloa","Año",2022)-GETPIVOTDATA("certificacion",$A$16,"sost","Estatal","entidad","Sinaloa","Año",2021)</f>
        <v>0</v>
      </c>
      <c r="I41" s="306">
        <v>0</v>
      </c>
      <c r="J41" s="321">
        <f>GETPIVOTDATA("certificacion",$A$16,"sost","Estatal","entidad","Sinaloa","Año",2022)-GETPIVOTDATA("certificacion",$A$16,"sost","Estatal","entidad","Sinaloa","Año",2018)</f>
        <v>-14</v>
      </c>
      <c r="K41" s="2"/>
      <c r="L41" s="2"/>
    </row>
    <row r="42" spans="1:12">
      <c r="A42" s="51" t="s">
        <v>22</v>
      </c>
      <c r="B42" s="50">
        <v>0</v>
      </c>
      <c r="C42" s="50">
        <v>404</v>
      </c>
      <c r="D42" s="50">
        <v>96</v>
      </c>
      <c r="E42" s="50">
        <v>11</v>
      </c>
      <c r="F42" s="50">
        <v>37</v>
      </c>
      <c r="G42" s="307">
        <f>((GETPIVOTDATA("certificacion",$A$16,"sost","Estatal","entidad","Sonora","Año",2022)/GETPIVOTDATA("certificacion",$A$16,"sost","Estatal","entidad","Sonora","Año",2021))-1)*100</f>
        <v>236.36363636363637</v>
      </c>
      <c r="H42" s="322">
        <f>GETPIVOTDATA("certificacion",$A$16,"sost","Estatal","entidad","Sonora","Año",2022)-GETPIVOTDATA("certificacion",$A$16,"sost","Estatal","entidad","Sonora","Año",2021)</f>
        <v>26</v>
      </c>
      <c r="I42" s="307" t="e">
        <f>((GETPIVOTDATA("certificacion",$A$16,"sost","Estatal","entidad","Sonora","Año",2022)/GETPIVOTDATA("certificacion",$A$16,"sost","Estatal","entidad","Sonora","Año",2018))-1)*100</f>
        <v>#DIV/0!</v>
      </c>
      <c r="J42" s="322">
        <f>GETPIVOTDATA("certificacion",$A$16,"sost","Estatal","entidad","Sonora","Año",2022)-GETPIVOTDATA("certificacion",$A$16,"sost","Estatal","entidad","Sonora","Año",2018)</f>
        <v>37</v>
      </c>
      <c r="K42" s="2"/>
      <c r="L42" s="2"/>
    </row>
    <row r="43" spans="1:12">
      <c r="A43" s="51" t="s">
        <v>23</v>
      </c>
      <c r="B43" s="50">
        <v>71</v>
      </c>
      <c r="C43" s="50">
        <v>344</v>
      </c>
      <c r="D43" s="50">
        <v>95</v>
      </c>
      <c r="E43" s="50">
        <v>53</v>
      </c>
      <c r="F43" s="50">
        <v>81</v>
      </c>
      <c r="G43" s="306">
        <f>((GETPIVOTDATA("certificacion",$A$16,"sost","Estatal","entidad","Tabasco","Año",2022)/GETPIVOTDATA("certificacion",$A$16,"sost","Estatal","entidad","Tabasco","Año",2021))-1)*100</f>
        <v>52.830188679245296</v>
      </c>
      <c r="H43" s="321">
        <f>GETPIVOTDATA("certificacion",$A$16,"sost","Estatal","entidad","Tabasco","Año",2022)-GETPIVOTDATA("certificacion",$A$16,"sost","Estatal","entidad","Tabasco","Año",2021)</f>
        <v>28</v>
      </c>
      <c r="I43" s="306">
        <f>((GETPIVOTDATA("certificacion",$A$16,"sost","Estatal","entidad","Tabasco","Año",2022)/GETPIVOTDATA("certificacion",$A$16,"sost","Estatal","entidad","Tabasco","Año",2018))-1)*100</f>
        <v>14.084507042253524</v>
      </c>
      <c r="J43" s="321">
        <f>GETPIVOTDATA("certificacion",$A$16,"sost","Estatal","entidad","Tabasco","Año",2022)-GETPIVOTDATA("certificacion",$A$16,"sost","Estatal","entidad","Tabasco","Año",2018)</f>
        <v>10</v>
      </c>
      <c r="K43" s="2"/>
      <c r="L43" s="2"/>
    </row>
    <row r="44" spans="1:12">
      <c r="A44" s="51" t="s">
        <v>24</v>
      </c>
      <c r="B44" s="50">
        <v>131</v>
      </c>
      <c r="C44" s="50">
        <v>432</v>
      </c>
      <c r="D44" s="50">
        <v>61</v>
      </c>
      <c r="E44" s="50">
        <v>47</v>
      </c>
      <c r="F44" s="50">
        <v>0</v>
      </c>
      <c r="G44" s="307">
        <f>((GETPIVOTDATA("certificacion",$A$16,"sost","Estatal","entidad","Tamaulipas","Año",2022)/GETPIVOTDATA("certificacion",$A$16,"sost","Estatal","entidad","Tamaulipas","Año",2021))-1)*100</f>
        <v>-100</v>
      </c>
      <c r="H44" s="322">
        <f>GETPIVOTDATA("certificacion",$A$16,"sost","Estatal","entidad","Tamaulipas","Año",2022)-GETPIVOTDATA("certificacion",$A$16,"sost","Estatal","entidad","Tamaulipas","Año",2021)</f>
        <v>-47</v>
      </c>
      <c r="I44" s="307">
        <f>((GETPIVOTDATA("certificacion",$A$16,"sost","Estatal","entidad","Tamaulipas","Año",2022)/GETPIVOTDATA("certificacion",$A$16,"sost","Estatal","entidad","Tamaulipas","Año",2018))-1)*100</f>
        <v>-100</v>
      </c>
      <c r="J44" s="322">
        <f>GETPIVOTDATA("certificacion",$A$16,"sost","Estatal","entidad","Tamaulipas","Año",2022)-GETPIVOTDATA("certificacion",$A$16,"sost","Estatal","entidad","Tamaulipas","Año",2018)</f>
        <v>-131</v>
      </c>
      <c r="K44" s="2"/>
      <c r="L44" s="2"/>
    </row>
    <row r="45" spans="1:12">
      <c r="A45" s="51" t="s">
        <v>25</v>
      </c>
      <c r="B45" s="50">
        <v>23</v>
      </c>
      <c r="C45" s="50">
        <v>262</v>
      </c>
      <c r="D45" s="50">
        <v>8</v>
      </c>
      <c r="E45" s="50">
        <v>0</v>
      </c>
      <c r="F45" s="50">
        <v>0</v>
      </c>
      <c r="G45" s="306">
        <v>0</v>
      </c>
      <c r="H45" s="321">
        <f>GETPIVOTDATA("certificacion",$A$16,"sost","Estatal","entidad","Tlaxcala","Año",2022)-GETPIVOTDATA("certificacion",$A$16,"sost","Estatal","entidad","Tlaxcala","Año",2021)</f>
        <v>0</v>
      </c>
      <c r="I45" s="306">
        <v>0</v>
      </c>
      <c r="J45" s="321">
        <f>GETPIVOTDATA("certificacion",$A$16,"sost","Estatal","entidad","Tlaxcala","Año",2022)-GETPIVOTDATA("certificacion",$A$16,"sost","Estatal","entidad","Tlaxcala","Año",2018)</f>
        <v>-23</v>
      </c>
      <c r="K45" s="2"/>
      <c r="L45" s="2"/>
    </row>
    <row r="46" spans="1:12">
      <c r="A46" s="51" t="s">
        <v>53</v>
      </c>
      <c r="B46" s="50">
        <v>768</v>
      </c>
      <c r="C46" s="50">
        <v>2353</v>
      </c>
      <c r="D46" s="50">
        <v>822</v>
      </c>
      <c r="E46" s="50">
        <v>424</v>
      </c>
      <c r="F46" s="50">
        <v>708</v>
      </c>
      <c r="G46" s="307">
        <f>((GETPIVOTDATA("certificacion",$A$16,"sost","Estatal","entidad","Veracruz llave","Año",2022)/GETPIVOTDATA("certificacion",$A$16,"sost","Estatal","entidad","Veracruz llave","Año",2021))-1)*100</f>
        <v>66.981132075471692</v>
      </c>
      <c r="H46" s="322">
        <f>GETPIVOTDATA("certificacion",$A$16,"sost","Estatal","entidad","Veracruz llave","Año",2022)-GETPIVOTDATA("certificacion",$A$16,"sost","Estatal","entidad","Veracruz llave","Año",2021)</f>
        <v>284</v>
      </c>
      <c r="I46" s="307">
        <f>((GETPIVOTDATA("certificacion",$A$16,"sost","Estatal","entidad","Veracruz llave","Año",2022)/GETPIVOTDATA("certificacion",$A$16,"sost","Estatal","entidad","Veracruz llave","Año",2018))-1)*100</f>
        <v>-7.8125</v>
      </c>
      <c r="J46" s="322">
        <f>GETPIVOTDATA("certificacion",$A$16,"sost","Estatal","entidad","Veracruz llave","Año",2022)-GETPIVOTDATA("certificacion",$A$16,"sost","Estatal","entidad","Veracruz llave","Año",2018)</f>
        <v>-60</v>
      </c>
      <c r="K46" s="2"/>
      <c r="L46" s="2"/>
    </row>
    <row r="47" spans="1:12">
      <c r="A47" s="51" t="s">
        <v>26</v>
      </c>
      <c r="B47" s="50">
        <v>433</v>
      </c>
      <c r="C47" s="50">
        <v>1100</v>
      </c>
      <c r="D47" s="50">
        <v>842</v>
      </c>
      <c r="E47" s="50">
        <v>812</v>
      </c>
      <c r="F47" s="50">
        <v>516</v>
      </c>
      <c r="G47" s="306">
        <f>((GETPIVOTDATA("certificacion",$A$16,"sost","Estatal","entidad","Yucatán","Año",2022)/GETPIVOTDATA("certificacion",$A$16,"sost","Estatal","entidad","Yucatán","Año",2021))-1)*100</f>
        <v>-36.453201970443352</v>
      </c>
      <c r="H47" s="321">
        <f>GETPIVOTDATA("certificacion",$A$16,"sost","Estatal","entidad","Yucatán","Año",2022)-GETPIVOTDATA("certificacion",$A$16,"sost","Estatal","entidad","Yucatán","Año",2021)</f>
        <v>-296</v>
      </c>
      <c r="I47" s="306">
        <f>((GETPIVOTDATA("certificacion",$A$16,"sost","Estatal","entidad","Yucatán","Año",2022)/GETPIVOTDATA("certificacion",$A$16,"sost","Estatal","entidad","Yucatán","Año",2018))-1)*100</f>
        <v>19.168591224018485</v>
      </c>
      <c r="J47" s="321">
        <f>GETPIVOTDATA("certificacion",$A$16,"sost","Estatal","entidad","Yucatán","Año",2022)-GETPIVOTDATA("certificacion",$A$16,"sost","Estatal","entidad","Yucatán","Año",2018)</f>
        <v>83</v>
      </c>
      <c r="K47" s="2"/>
      <c r="L47" s="2"/>
    </row>
    <row r="48" spans="1:12">
      <c r="A48" s="51" t="s">
        <v>27</v>
      </c>
      <c r="B48" s="50">
        <v>78</v>
      </c>
      <c r="C48" s="50">
        <v>578</v>
      </c>
      <c r="D48" s="50">
        <v>23</v>
      </c>
      <c r="E48" s="50">
        <v>0</v>
      </c>
      <c r="F48" s="50">
        <v>3</v>
      </c>
      <c r="G48" s="307">
        <v>0</v>
      </c>
      <c r="H48" s="322">
        <f>GETPIVOTDATA("certificacion",$A$16,"sost","Estatal","entidad","Zacatecas","Año",2022)-GETPIVOTDATA("certificacion",$A$16,"sost","Estatal","entidad","Zacatecas","Año",2021)</f>
        <v>3</v>
      </c>
      <c r="I48" s="307">
        <f>((GETPIVOTDATA("certificacion",$A$16,"sost","Estatal","entidad","Zacatecas","Año",2022)/GETPIVOTDATA("certificacion",$A$16,"sost","Estatal","entidad","Zacatecas","Año",2018))-1)*100</f>
        <v>-96.15384615384616</v>
      </c>
      <c r="J48" s="322">
        <f>GETPIVOTDATA("certificacion",$A$16,"sost","Estatal","entidad","Zacatecas","Año",2022)-GETPIVOTDATA("certificacion",$A$16,"sost","Estatal","entidad","Zacatecas","Año",2018)</f>
        <v>-75</v>
      </c>
      <c r="K48" s="2"/>
      <c r="L48" s="2"/>
    </row>
    <row r="49" spans="1:12">
      <c r="A49" s="49" t="s">
        <v>50</v>
      </c>
      <c r="B49" s="87">
        <v>11360</v>
      </c>
      <c r="C49" s="87">
        <v>6389</v>
      </c>
      <c r="D49" s="87">
        <v>3406</v>
      </c>
      <c r="E49" s="87">
        <v>3046</v>
      </c>
      <c r="F49" s="87">
        <v>4295</v>
      </c>
      <c r="G49" s="308">
        <f>((GETPIVOTDATA("certificacion",$A$16,"sost","Federal","Año",2022)/GETPIVOTDATA("certificacion",$A$16,"sost","Federal","Año",2021))-1)*100</f>
        <v>41.004596191726847</v>
      </c>
      <c r="H49" s="323">
        <f>GETPIVOTDATA("certificacion",$A$16,"sost","Federal","Año",2022)-GETPIVOTDATA("certificacion",$A$16,"sost","Federal","Año",2021)</f>
        <v>1249</v>
      </c>
      <c r="I49" s="308">
        <f>((GETPIVOTDATA("certificacion",$A$16,"sost","Federal","Año",2022)/GETPIVOTDATA("certificacion",$A$16,"sost","Federal","Año",2018))-1)*100</f>
        <v>-62.191901408450704</v>
      </c>
      <c r="J49" s="323">
        <f>GETPIVOTDATA("certificacion",$A$16,"sost","Federal","Año",2022)-GETPIVOTDATA("certificacion",$A$16,"sost","Federal","Año",2018)</f>
        <v>-7065</v>
      </c>
      <c r="K49" s="2"/>
      <c r="L49" s="2"/>
    </row>
    <row r="50" spans="1:12">
      <c r="A50" s="51" t="s">
        <v>32</v>
      </c>
      <c r="B50" s="50">
        <v>1708</v>
      </c>
      <c r="C50" s="50">
        <v>2400</v>
      </c>
      <c r="D50" s="50">
        <v>409</v>
      </c>
      <c r="E50" s="50">
        <v>206</v>
      </c>
      <c r="F50" s="50">
        <v>1996</v>
      </c>
      <c r="G50" s="307">
        <f>((GETPIVOTDATA("certificacion",$A$16,"sost","Federal","entidad","Ciudad de México","Año",2022)/GETPIVOTDATA("certificacion",$A$16,"sost","Federal","entidad","Ciudad de México","Año",2021))-1)*100</f>
        <v>868.93203883495153</v>
      </c>
      <c r="H50" s="322">
        <f>GETPIVOTDATA("certificacion",$A$16,"sost","Federal","entidad","Ciudad de México","Año",2022)-GETPIVOTDATA("certificacion",$A$16,"sost","Federal","entidad","Ciudad de México","Año",2021)</f>
        <v>1790</v>
      </c>
      <c r="I50" s="307">
        <f>((GETPIVOTDATA("certificacion",$A$16,"sost","Federal","entidad","Ciudad de México","Año",2022)/GETPIVOTDATA("certificacion",$A$16,"sost","Federal","entidad","Ciudad de México","Año",2018))-1)*100</f>
        <v>16.861826697892269</v>
      </c>
      <c r="J50" s="322">
        <f>GETPIVOTDATA("certificacion",$A$16,"sost","Federal","entidad","Ciudad de México","Año",2022)-GETPIVOTDATA("certificacion",$A$16,"sost","Federal","entidad","Ciudad de México","Año",2018)</f>
        <v>288</v>
      </c>
      <c r="K50" s="2"/>
      <c r="L50" s="2"/>
    </row>
    <row r="51" spans="1:12">
      <c r="A51" s="51" t="s">
        <v>28</v>
      </c>
      <c r="B51" s="50">
        <v>549</v>
      </c>
      <c r="C51" s="50">
        <v>336</v>
      </c>
      <c r="D51" s="50">
        <v>152</v>
      </c>
      <c r="E51" s="50">
        <v>67</v>
      </c>
      <c r="F51" s="50">
        <v>61</v>
      </c>
      <c r="G51" s="306">
        <f>((GETPIVOTDATA("certificacion",$A$16,"sost","Federal","entidad","Oaxaca","Año",2022)/GETPIVOTDATA("certificacion",$A$16,"sost","Federal","entidad","Oaxaca","Año",2021))-1)*100</f>
        <v>-8.9552238805970177</v>
      </c>
      <c r="H51" s="321">
        <f>GETPIVOTDATA("certificacion",$A$16,"sost","Federal","entidad","Oaxaca","Año",2022)-GETPIVOTDATA("certificacion",$A$16,"sost","Federal","entidad","Oaxaca","Año",2021)</f>
        <v>-6</v>
      </c>
      <c r="I51" s="306">
        <f>((GETPIVOTDATA("certificacion",$A$16,"sost","Federal","entidad","Oaxaca","Año",2022)/GETPIVOTDATA("certificacion",$A$16,"sost","Federal","entidad","Oaxaca","Año",2018))-1)*100</f>
        <v>-88.888888888888886</v>
      </c>
      <c r="J51" s="321">
        <f>GETPIVOTDATA("certificacion",$A$16,"sost","Federal","entidad","Oaxaca","Año",2022)-GETPIVOTDATA("certificacion",$A$16,"sost","Federal","entidad","Oaxaca","Año",2018)</f>
        <v>-488</v>
      </c>
      <c r="K51" s="2"/>
      <c r="L51" s="2"/>
    </row>
    <row r="52" spans="1:12">
      <c r="A52" s="51" t="s">
        <v>39</v>
      </c>
      <c r="B52" s="50">
        <v>9103</v>
      </c>
      <c r="C52" s="50">
        <v>3653</v>
      </c>
      <c r="D52" s="50">
        <v>2845</v>
      </c>
      <c r="E52" s="50">
        <v>2773</v>
      </c>
      <c r="F52" s="50">
        <v>2238</v>
      </c>
      <c r="G52" s="307">
        <f>((GETPIVOTDATA("certificacion",$A$16,"sost","Federal","entidad","Oficinas Nacionales","Año",2022)/GETPIVOTDATA("certificacion",$A$16,"sost","Federal","entidad","Oficinas Nacionales","Año",2021))-1)*100</f>
        <v>-19.293184276956367</v>
      </c>
      <c r="H52" s="322">
        <f>GETPIVOTDATA("certificacion",$A$16,"sost","Federal","entidad","Oficinas Nacionales","Año",2022)-GETPIVOTDATA("certificacion",$A$16,"sost","Federal","entidad","Oficinas Nacionales","Año",2021)</f>
        <v>-535</v>
      </c>
      <c r="I52" s="307">
        <f>((GETPIVOTDATA("certificacion",$A$16,"sost","Federal","entidad","Oficinas Nacionales","Año",2022)/GETPIVOTDATA("certificacion",$A$16,"sost","Federal","entidad","Oficinas Nacionales","Año",2018))-1)*100</f>
        <v>-75.41469845106009</v>
      </c>
      <c r="J52" s="322">
        <f>GETPIVOTDATA("certificacion",$A$16,"sost","Federal","entidad","Oficinas Nacionales","Año",2022)-GETPIVOTDATA("certificacion",$A$16,"sost","Federal","entidad","Oficinas Nacionales","Año",2018)</f>
        <v>-6865</v>
      </c>
    </row>
    <row r="53" spans="1:12" hidden="1">
      <c r="A53" s="49" t="s">
        <v>124</v>
      </c>
      <c r="B53" s="50">
        <v>664</v>
      </c>
      <c r="C53" s="50">
        <v>1166</v>
      </c>
      <c r="D53" s="50">
        <v>533</v>
      </c>
      <c r="E53" s="50">
        <v>443</v>
      </c>
      <c r="F53" s="50">
        <v>1201</v>
      </c>
      <c r="G53" s="328">
        <f>((GETPIVOTDATA("certificacion",$A$16,"sost","Otro","Año",2022)/GETPIVOTDATA("certificacion",$A$16,"sost","Otro","Año",2021))-1)*100</f>
        <v>171.10609480812639</v>
      </c>
      <c r="H53" s="323">
        <f>GETPIVOTDATA("certificacion",$A$16,"sost","Otro","Año",2022)-GETPIVOTDATA("certificacion",$A$16,"sost","Otro","Año",2021)</f>
        <v>758</v>
      </c>
      <c r="I53" s="328">
        <f>((GETPIVOTDATA("certificacion",$A$16,"sost","Otro","Año",2022)/GETPIVOTDATA("certificacion",$A$16,"sost","Otro","Año",2018))-1)*100</f>
        <v>80.873493975903614</v>
      </c>
      <c r="J53" s="323">
        <f>GETPIVOTDATA("certificacion",$A$16,"sost","Otro","Año",2022)-GETPIVOTDATA("certificacion",$A$16,"sost","Otro","Año",2018)</f>
        <v>537</v>
      </c>
    </row>
    <row r="54" spans="1:12" hidden="1">
      <c r="A54" s="51" t="s">
        <v>40</v>
      </c>
      <c r="B54" s="50">
        <v>664</v>
      </c>
      <c r="C54" s="50">
        <v>1166</v>
      </c>
      <c r="D54" s="50">
        <v>533</v>
      </c>
      <c r="E54" s="50">
        <v>443</v>
      </c>
      <c r="F54" s="50">
        <v>1201</v>
      </c>
      <c r="G54" s="326">
        <f>((GETPIVOTDATA("certificacion",$A$16,"sost","Otro","entidad","Otros","Año",2022)/GETPIVOTDATA("certificacion",$A$16,"sost","Otro","entidad","Otros","Año",2021))-1)*100</f>
        <v>171.10609480812639</v>
      </c>
      <c r="H54" s="322">
        <f>GETPIVOTDATA("certificacion",$A$16,"sost","Otro","entidad","Otros","Año",2022)-GETPIVOTDATA("certificacion",$A$16,"sost","Otro","entidad","Otros","Año",2021)</f>
        <v>758</v>
      </c>
      <c r="I54" s="326">
        <f>((GETPIVOTDATA("certificacion",$A$16,"sost","Otro","entidad","Otros","Año",2022)/GETPIVOTDATA("certificacion",$A$16,"sost","Otro","entidad","Otros","Año",2018))-1)*100</f>
        <v>80.873493975903614</v>
      </c>
      <c r="J54" s="322">
        <f>GETPIVOTDATA("certificacion",$A$16,"sost","Otro","entidad","Otros","Año",2022)-GETPIVOTDATA("certificacion",$A$16,"sost","Otro","entidad","Otros","Año",2018)</f>
        <v>537</v>
      </c>
    </row>
    <row r="55" spans="1:12" hidden="1">
      <c r="A55" s="49" t="s">
        <v>37</v>
      </c>
      <c r="B55" s="50">
        <v>163434</v>
      </c>
      <c r="C55" s="50">
        <v>174827</v>
      </c>
      <c r="D55" s="50">
        <v>88578</v>
      </c>
      <c r="E55" s="50">
        <v>92502</v>
      </c>
      <c r="F55" s="50">
        <v>78858</v>
      </c>
      <c r="G55" s="331">
        <f>((GETPIVOTDATA("certificacion",$A$16,"Año",2022)/GETPIVOTDATA("certificacion",$A$16,"Año",2021))-1)*100</f>
        <v>-14.74995135240319</v>
      </c>
      <c r="H55" s="329">
        <f>GETPIVOTDATA("certificacion",$A$16,"Año",2022)-GETPIVOTDATA("certificacion",$A$16,"Año",2021)</f>
        <v>-13644</v>
      </c>
      <c r="I55" s="331">
        <f>((GETPIVOTDATA("certificacion",$A$16,"Año",2022)/GETPIVOTDATA("certificacion",$A$16,"Año",2018))-1)*100</f>
        <v>-51.749330004772574</v>
      </c>
      <c r="J55" s="329">
        <f>GETPIVOTDATA("certificacion",$A$16,"Año",2022)-GETPIVOTDATA("certificacion",$A$16,"Año",2018)</f>
        <v>-84576</v>
      </c>
    </row>
    <row r="57" spans="1:12" ht="12.75" customHeight="1">
      <c r="A57" s="84" t="s">
        <v>41</v>
      </c>
      <c r="B57" s="85"/>
      <c r="C57" s="85"/>
      <c r="D57" s="85"/>
      <c r="E57" s="85"/>
      <c r="F57" s="85"/>
      <c r="G57" s="85"/>
      <c r="H57" s="85"/>
    </row>
  </sheetData>
  <mergeCells count="3">
    <mergeCell ref="B15:D15"/>
    <mergeCell ref="E15:G15"/>
    <mergeCell ref="A5:J5"/>
  </mergeCells>
  <printOptions horizontalCentered="1"/>
  <pageMargins left="0.70866141732283472" right="0.70866141732283472" top="0.74803149606299213" bottom="0.74803149606299213" header="0.31496062992125984" footer="0.31496062992125984"/>
  <pageSetup paperSize="9" scale="85"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6"/>
  <sheetViews>
    <sheetView showGridLines="0" zoomScale="70" zoomScaleNormal="70" workbookViewId="0">
      <selection activeCell="B12" sqref="B12"/>
    </sheetView>
  </sheetViews>
  <sheetFormatPr baseColWidth="10" defaultColWidth="11.42578125" defaultRowHeight="13.5"/>
  <cols>
    <col min="1" max="1" width="23.42578125" style="48" customWidth="1"/>
    <col min="2" max="2" width="18.42578125" style="48" customWidth="1"/>
    <col min="3" max="17" width="14.140625" style="210" customWidth="1"/>
    <col min="18" max="16384" width="11.42578125" style="48"/>
  </cols>
  <sheetData>
    <row r="1" spans="1:21" s="3" customFormat="1" ht="12.75" customHeight="1">
      <c r="A1"/>
      <c r="B1"/>
      <c r="C1" s="207"/>
      <c r="D1" s="207"/>
      <c r="E1" s="208"/>
      <c r="F1" s="208"/>
      <c r="G1" s="208"/>
      <c r="H1" s="208"/>
      <c r="I1" s="1"/>
      <c r="J1" s="1"/>
      <c r="K1" s="1"/>
      <c r="L1" s="1"/>
      <c r="M1" s="1"/>
      <c r="N1" s="1"/>
      <c r="O1" s="1"/>
      <c r="P1" s="1"/>
      <c r="Q1" s="1"/>
    </row>
    <row r="2" spans="1:21" ht="15.75" customHeight="1">
      <c r="A2"/>
      <c r="B2"/>
      <c r="C2" s="1"/>
      <c r="D2" s="1"/>
      <c r="E2" s="1"/>
      <c r="F2" s="1"/>
      <c r="G2" s="1"/>
      <c r="H2" s="1"/>
      <c r="I2" s="1"/>
      <c r="J2" s="214"/>
      <c r="K2" s="214"/>
      <c r="L2" s="214"/>
      <c r="M2" s="214"/>
      <c r="N2" s="214"/>
    </row>
    <row r="3" spans="1:21" s="213" customFormat="1" ht="15">
      <c r="A3" s="47" t="s">
        <v>45</v>
      </c>
      <c r="B3" s="48" t="s">
        <v>313</v>
      </c>
      <c r="C3" s="48" t="s">
        <v>312</v>
      </c>
      <c r="D3"/>
      <c r="E3"/>
      <c r="F3"/>
      <c r="G3"/>
      <c r="H3"/>
      <c r="I3"/>
      <c r="J3"/>
      <c r="K3"/>
      <c r="L3"/>
      <c r="M3"/>
      <c r="N3"/>
      <c r="O3"/>
      <c r="P3"/>
      <c r="Q3"/>
      <c r="R3" s="131"/>
      <c r="S3" s="131"/>
      <c r="T3" s="131"/>
      <c r="U3" s="131"/>
    </row>
    <row r="4" spans="1:21" ht="15">
      <c r="A4" s="48">
        <v>2012</v>
      </c>
      <c r="B4" s="209">
        <v>6121</v>
      </c>
      <c r="C4" s="209">
        <v>2.0137849352700234</v>
      </c>
      <c r="D4"/>
      <c r="E4"/>
      <c r="F4"/>
      <c r="G4"/>
      <c r="H4"/>
      <c r="I4"/>
      <c r="J4"/>
      <c r="K4"/>
      <c r="L4"/>
      <c r="M4"/>
      <c r="N4"/>
      <c r="O4"/>
      <c r="P4"/>
      <c r="Q4"/>
      <c r="R4"/>
      <c r="S4"/>
      <c r="T4"/>
      <c r="U4"/>
    </row>
    <row r="5" spans="1:21" ht="15">
      <c r="A5" s="48">
        <v>2013</v>
      </c>
      <c r="B5" s="209">
        <v>29435</v>
      </c>
      <c r="C5" s="209">
        <v>9.6996678353939831</v>
      </c>
      <c r="D5"/>
      <c r="E5"/>
      <c r="F5"/>
      <c r="G5"/>
      <c r="H5"/>
      <c r="I5"/>
      <c r="J5"/>
      <c r="K5"/>
      <c r="L5"/>
      <c r="M5"/>
      <c r="N5"/>
      <c r="O5"/>
      <c r="P5"/>
      <c r="Q5"/>
      <c r="R5"/>
      <c r="S5"/>
      <c r="T5"/>
      <c r="U5"/>
    </row>
    <row r="6" spans="1:21" ht="15">
      <c r="A6" s="48">
        <v>2014</v>
      </c>
      <c r="B6" s="209">
        <v>19069</v>
      </c>
      <c r="C6" s="209">
        <v>6.319448817071029</v>
      </c>
      <c r="D6"/>
      <c r="E6"/>
      <c r="F6"/>
      <c r="G6"/>
      <c r="H6"/>
      <c r="I6"/>
      <c r="J6"/>
      <c r="K6"/>
      <c r="L6"/>
      <c r="M6"/>
      <c r="N6"/>
      <c r="O6"/>
      <c r="P6"/>
      <c r="Q6"/>
      <c r="R6"/>
      <c r="S6"/>
      <c r="T6"/>
      <c r="U6"/>
    </row>
    <row r="7" spans="1:21" ht="15">
      <c r="A7" s="48">
        <v>2015</v>
      </c>
      <c r="B7" s="209">
        <v>10535</v>
      </c>
      <c r="C7" s="209">
        <v>3.451314677342209</v>
      </c>
      <c r="D7"/>
      <c r="E7"/>
      <c r="F7"/>
      <c r="G7"/>
      <c r="H7"/>
      <c r="I7"/>
      <c r="J7"/>
      <c r="K7"/>
      <c r="L7"/>
      <c r="M7"/>
      <c r="N7"/>
      <c r="O7"/>
      <c r="P7"/>
      <c r="Q7"/>
      <c r="R7"/>
    </row>
    <row r="8" spans="1:21" ht="15">
      <c r="A8" s="48">
        <v>2016</v>
      </c>
      <c r="B8" s="209">
        <v>10545</v>
      </c>
      <c r="C8" s="209">
        <v>3.4245796811519837</v>
      </c>
      <c r="D8"/>
      <c r="E8"/>
      <c r="F8"/>
      <c r="G8"/>
      <c r="H8"/>
      <c r="I8"/>
      <c r="J8"/>
      <c r="K8"/>
      <c r="L8"/>
      <c r="M8"/>
      <c r="N8"/>
      <c r="O8"/>
      <c r="P8"/>
      <c r="Q8"/>
      <c r="R8"/>
    </row>
    <row r="9" spans="1:21" ht="15">
      <c r="A9" s="48">
        <v>2017</v>
      </c>
      <c r="B9" s="209">
        <v>10665</v>
      </c>
      <c r="C9" s="209">
        <v>3.4202863227031326</v>
      </c>
      <c r="D9"/>
      <c r="E9"/>
      <c r="F9"/>
      <c r="G9"/>
      <c r="H9"/>
      <c r="I9"/>
      <c r="J9"/>
      <c r="K9"/>
      <c r="L9"/>
      <c r="M9"/>
      <c r="N9"/>
      <c r="O9"/>
      <c r="P9"/>
      <c r="Q9"/>
      <c r="R9"/>
    </row>
    <row r="10" spans="1:21" ht="15">
      <c r="A10" s="48">
        <v>2018</v>
      </c>
      <c r="B10" s="209">
        <v>12025</v>
      </c>
      <c r="C10" s="209">
        <v>3.9060089196677703</v>
      </c>
      <c r="D10"/>
      <c r="E10"/>
      <c r="F10"/>
      <c r="G10"/>
      <c r="H10"/>
      <c r="I10"/>
      <c r="J10"/>
      <c r="K10"/>
      <c r="L10"/>
      <c r="M10"/>
      <c r="N10"/>
      <c r="O10"/>
      <c r="P10"/>
      <c r="Q10"/>
      <c r="R10"/>
    </row>
    <row r="11" spans="1:21" ht="15">
      <c r="A11" s="48">
        <v>2019</v>
      </c>
      <c r="B11" s="209">
        <v>11750</v>
      </c>
      <c r="C11" s="209">
        <v>3.8387527810538766</v>
      </c>
      <c r="D11"/>
      <c r="E11"/>
      <c r="F11"/>
      <c r="G11"/>
      <c r="H11"/>
      <c r="I11"/>
      <c r="J11"/>
      <c r="K11"/>
      <c r="L11"/>
      <c r="M11"/>
      <c r="N11"/>
      <c r="O11"/>
      <c r="P11"/>
      <c r="Q11"/>
      <c r="R11"/>
    </row>
    <row r="12" spans="1:21" ht="15">
      <c r="A12" s="48">
        <v>2021</v>
      </c>
      <c r="B12" s="209">
        <v>6174</v>
      </c>
      <c r="C12" s="209">
        <v>1.9934327143811932</v>
      </c>
      <c r="D12"/>
      <c r="E12"/>
      <c r="F12"/>
      <c r="G12"/>
      <c r="H12"/>
      <c r="I12"/>
      <c r="J12"/>
      <c r="K12"/>
      <c r="L12"/>
      <c r="M12"/>
      <c r="N12"/>
      <c r="O12"/>
      <c r="P12"/>
      <c r="Q12"/>
      <c r="R12"/>
    </row>
    <row r="13" spans="1:21" ht="15">
      <c r="A13" s="48">
        <v>2022</v>
      </c>
      <c r="B13" s="209">
        <v>9702</v>
      </c>
      <c r="C13" s="209">
        <v>3.0219309584398837</v>
      </c>
      <c r="D13"/>
      <c r="E13"/>
      <c r="F13"/>
      <c r="G13"/>
      <c r="H13"/>
      <c r="I13"/>
      <c r="J13"/>
      <c r="K13"/>
      <c r="L13"/>
      <c r="M13"/>
      <c r="N13"/>
      <c r="O13"/>
      <c r="P13"/>
      <c r="Q13"/>
      <c r="R13"/>
    </row>
    <row r="14" spans="1:21" ht="15">
      <c r="A14" s="48" t="s">
        <v>37</v>
      </c>
      <c r="B14" s="209">
        <v>126021</v>
      </c>
      <c r="C14" s="209">
        <v>4.0930912662466206</v>
      </c>
      <c r="D14"/>
      <c r="E14"/>
      <c r="F14"/>
      <c r="G14"/>
      <c r="H14"/>
      <c r="I14"/>
      <c r="J14"/>
      <c r="K14"/>
      <c r="L14"/>
      <c r="M14"/>
      <c r="N14"/>
      <c r="O14"/>
      <c r="P14"/>
      <c r="Q14"/>
      <c r="R14"/>
    </row>
    <row r="15" spans="1:21" ht="15">
      <c r="A15"/>
      <c r="B15"/>
      <c r="C15"/>
      <c r="D15"/>
      <c r="E15"/>
      <c r="F15"/>
      <c r="G15"/>
      <c r="H15"/>
      <c r="I15"/>
      <c r="J15"/>
      <c r="K15"/>
      <c r="L15"/>
      <c r="M15"/>
      <c r="N15"/>
      <c r="O15"/>
      <c r="P15"/>
      <c r="Q15"/>
      <c r="R15"/>
    </row>
    <row r="16" spans="1:21" ht="15">
      <c r="A16"/>
      <c r="B16"/>
      <c r="C16"/>
      <c r="D16"/>
      <c r="E16"/>
      <c r="F16"/>
      <c r="G16"/>
      <c r="H16"/>
      <c r="I16"/>
      <c r="J16"/>
      <c r="K16"/>
      <c r="L16"/>
      <c r="M16"/>
      <c r="N16"/>
      <c r="O16"/>
      <c r="P16"/>
      <c r="Q16"/>
      <c r="R16"/>
    </row>
    <row r="17" spans="1:18" ht="15">
      <c r="A17"/>
      <c r="B17"/>
      <c r="C17"/>
      <c r="D17"/>
      <c r="E17"/>
      <c r="F17"/>
      <c r="G17"/>
      <c r="H17"/>
      <c r="I17"/>
      <c r="J17"/>
      <c r="K17"/>
      <c r="L17"/>
      <c r="M17"/>
      <c r="N17"/>
      <c r="O17"/>
      <c r="P17"/>
      <c r="Q17"/>
      <c r="R17"/>
    </row>
    <row r="18" spans="1:18" ht="15">
      <c r="A18"/>
      <c r="B18"/>
      <c r="C18"/>
      <c r="D18"/>
      <c r="E18"/>
      <c r="F18"/>
      <c r="G18"/>
      <c r="H18"/>
      <c r="I18"/>
      <c r="J18"/>
      <c r="K18"/>
      <c r="L18"/>
      <c r="M18"/>
      <c r="N18"/>
      <c r="O18"/>
      <c r="P18"/>
      <c r="Q18"/>
      <c r="R18"/>
    </row>
    <row r="19" spans="1:18" ht="15">
      <c r="A19"/>
      <c r="B19"/>
      <c r="C19"/>
      <c r="D19"/>
      <c r="E19"/>
      <c r="F19"/>
      <c r="G19"/>
      <c r="H19"/>
      <c r="I19"/>
      <c r="J19"/>
      <c r="K19"/>
      <c r="L19"/>
      <c r="M19"/>
      <c r="N19"/>
      <c r="O19"/>
      <c r="P19"/>
      <c r="Q19"/>
      <c r="R19"/>
    </row>
    <row r="20" spans="1:18" ht="15">
      <c r="A20"/>
      <c r="B20"/>
      <c r="C20"/>
      <c r="D20"/>
      <c r="E20"/>
      <c r="F20"/>
      <c r="G20"/>
      <c r="H20"/>
      <c r="I20"/>
      <c r="J20"/>
      <c r="K20"/>
      <c r="L20"/>
      <c r="M20"/>
      <c r="N20"/>
      <c r="O20"/>
      <c r="P20"/>
      <c r="Q20"/>
      <c r="R20"/>
    </row>
    <row r="21" spans="1:18" ht="15">
      <c r="A21"/>
      <c r="B21"/>
      <c r="C21"/>
      <c r="D21"/>
      <c r="E21"/>
      <c r="F21"/>
      <c r="G21"/>
      <c r="H21"/>
      <c r="I21"/>
      <c r="J21"/>
      <c r="K21"/>
      <c r="L21"/>
      <c r="M21"/>
      <c r="N21"/>
      <c r="O21"/>
      <c r="P21"/>
      <c r="Q21"/>
      <c r="R21"/>
    </row>
    <row r="22" spans="1:18" ht="15">
      <c r="A22"/>
      <c r="B22"/>
      <c r="C22"/>
      <c r="D22"/>
      <c r="E22"/>
      <c r="F22"/>
      <c r="G22"/>
      <c r="H22"/>
      <c r="I22"/>
      <c r="J22"/>
      <c r="K22"/>
      <c r="L22"/>
      <c r="M22"/>
      <c r="N22"/>
      <c r="O22"/>
      <c r="P22"/>
      <c r="Q22"/>
      <c r="R22"/>
    </row>
    <row r="23" spans="1:18" ht="15">
      <c r="A23"/>
      <c r="B23"/>
      <c r="C23"/>
      <c r="D23"/>
      <c r="E23"/>
      <c r="F23"/>
      <c r="G23"/>
      <c r="H23"/>
      <c r="I23"/>
      <c r="J23"/>
      <c r="K23"/>
      <c r="L23"/>
      <c r="M23"/>
      <c r="N23"/>
      <c r="O23"/>
      <c r="P23"/>
      <c r="Q23"/>
      <c r="R23"/>
    </row>
    <row r="24" spans="1:18" ht="15">
      <c r="A24"/>
      <c r="B24"/>
      <c r="C24"/>
      <c r="D24"/>
      <c r="E24"/>
      <c r="F24"/>
      <c r="G24"/>
      <c r="H24"/>
      <c r="I24"/>
      <c r="J24"/>
      <c r="K24"/>
      <c r="L24"/>
      <c r="M24"/>
      <c r="N24"/>
      <c r="O24"/>
      <c r="P24"/>
      <c r="Q24"/>
      <c r="R24"/>
    </row>
    <row r="25" spans="1:18" ht="15">
      <c r="A25"/>
      <c r="B25"/>
      <c r="C25"/>
      <c r="D25"/>
      <c r="E25"/>
      <c r="F25"/>
      <c r="G25"/>
      <c r="H25"/>
      <c r="I25"/>
      <c r="J25"/>
      <c r="K25"/>
      <c r="L25"/>
      <c r="M25"/>
      <c r="N25"/>
      <c r="O25"/>
      <c r="P25"/>
      <c r="Q25"/>
      <c r="R25"/>
    </row>
    <row r="26" spans="1:18" ht="15">
      <c r="A26"/>
      <c r="B26"/>
      <c r="C26"/>
      <c r="D26"/>
      <c r="E26"/>
      <c r="F26"/>
      <c r="G26"/>
      <c r="H26"/>
      <c r="I26"/>
      <c r="J26"/>
      <c r="K26"/>
      <c r="L26"/>
      <c r="M26"/>
      <c r="N26"/>
      <c r="O26"/>
      <c r="P26"/>
      <c r="Q26"/>
      <c r="R26"/>
    </row>
    <row r="27" spans="1:18" ht="15">
      <c r="A27"/>
      <c r="B27"/>
      <c r="C27"/>
      <c r="D27"/>
      <c r="E27"/>
      <c r="F27"/>
      <c r="G27"/>
      <c r="H27"/>
      <c r="I27"/>
      <c r="J27"/>
      <c r="K27"/>
      <c r="L27"/>
      <c r="M27"/>
      <c r="N27"/>
      <c r="O27"/>
      <c r="P27"/>
      <c r="Q27"/>
      <c r="R27"/>
    </row>
    <row r="28" spans="1:18" ht="15">
      <c r="A28"/>
      <c r="B28"/>
      <c r="C28"/>
      <c r="D28"/>
      <c r="E28"/>
      <c r="F28"/>
      <c r="G28"/>
      <c r="H28"/>
      <c r="I28"/>
      <c r="J28"/>
      <c r="K28"/>
      <c r="L28"/>
      <c r="M28"/>
      <c r="N28"/>
      <c r="O28"/>
      <c r="P28"/>
      <c r="Q28"/>
      <c r="R28"/>
    </row>
    <row r="29" spans="1:18" ht="15">
      <c r="A29"/>
      <c r="B29"/>
      <c r="C29"/>
      <c r="D29"/>
      <c r="E29"/>
      <c r="F29"/>
      <c r="G29"/>
      <c r="H29"/>
      <c r="I29"/>
      <c r="J29"/>
      <c r="K29"/>
      <c r="L29"/>
      <c r="M29"/>
      <c r="N29"/>
      <c r="O29"/>
      <c r="P29"/>
      <c r="Q29"/>
      <c r="R29"/>
    </row>
    <row r="30" spans="1:18" ht="15">
      <c r="A30"/>
      <c r="B30"/>
      <c r="C30"/>
      <c r="D30"/>
      <c r="E30"/>
      <c r="F30"/>
      <c r="G30"/>
      <c r="H30"/>
      <c r="I30"/>
      <c r="J30"/>
      <c r="K30"/>
      <c r="L30"/>
      <c r="M30"/>
      <c r="N30"/>
      <c r="O30"/>
      <c r="P30"/>
      <c r="Q30"/>
      <c r="R30"/>
    </row>
    <row r="31" spans="1:18" ht="15">
      <c r="A31"/>
      <c r="B31"/>
      <c r="C31"/>
      <c r="D31"/>
      <c r="E31"/>
      <c r="F31"/>
      <c r="G31"/>
      <c r="H31"/>
      <c r="I31"/>
      <c r="J31"/>
      <c r="K31"/>
      <c r="L31"/>
      <c r="M31"/>
      <c r="N31"/>
      <c r="O31"/>
      <c r="P31"/>
      <c r="Q31"/>
      <c r="R31"/>
    </row>
    <row r="32" spans="1:18" ht="15">
      <c r="A32"/>
      <c r="B32"/>
      <c r="C32"/>
      <c r="D32"/>
      <c r="E32"/>
      <c r="F32"/>
      <c r="G32"/>
      <c r="H32"/>
      <c r="I32"/>
      <c r="J32"/>
      <c r="K32"/>
      <c r="L32"/>
      <c r="M32"/>
      <c r="N32"/>
      <c r="O32"/>
      <c r="P32"/>
      <c r="Q32"/>
      <c r="R32"/>
    </row>
    <row r="33" spans="1:18" ht="15">
      <c r="A33"/>
      <c r="B33"/>
      <c r="C33"/>
      <c r="D33"/>
      <c r="E33"/>
      <c r="F33"/>
      <c r="G33"/>
      <c r="H33"/>
      <c r="I33"/>
      <c r="J33"/>
      <c r="K33"/>
      <c r="L33"/>
      <c r="M33"/>
      <c r="N33"/>
      <c r="O33"/>
      <c r="P33"/>
      <c r="Q33"/>
      <c r="R33"/>
    </row>
    <row r="34" spans="1:18" ht="15">
      <c r="A34"/>
      <c r="B34"/>
      <c r="C34"/>
      <c r="D34"/>
      <c r="E34"/>
      <c r="F34"/>
      <c r="G34"/>
      <c r="H34"/>
      <c r="I34"/>
      <c r="J34"/>
      <c r="K34"/>
      <c r="L34"/>
      <c r="M34"/>
      <c r="N34"/>
      <c r="O34"/>
      <c r="P34"/>
      <c r="Q34"/>
      <c r="R34"/>
    </row>
    <row r="35" spans="1:18" ht="15">
      <c r="A35"/>
      <c r="B35"/>
      <c r="C35"/>
      <c r="D35"/>
      <c r="E35"/>
      <c r="F35"/>
      <c r="G35"/>
      <c r="H35"/>
      <c r="I35"/>
      <c r="J35"/>
      <c r="K35"/>
      <c r="L35"/>
      <c r="M35"/>
      <c r="N35"/>
      <c r="O35"/>
      <c r="P35"/>
      <c r="Q35"/>
      <c r="R35"/>
    </row>
    <row r="36" spans="1:18" ht="15">
      <c r="A36"/>
      <c r="B36"/>
      <c r="C36"/>
      <c r="D36"/>
      <c r="E36"/>
      <c r="F36"/>
      <c r="G36"/>
      <c r="H36"/>
      <c r="I36"/>
      <c r="J36"/>
      <c r="K36"/>
      <c r="L36"/>
      <c r="M36"/>
      <c r="N36"/>
      <c r="O36"/>
      <c r="P36"/>
      <c r="Q36"/>
      <c r="R36"/>
    </row>
    <row r="37" spans="1:18" ht="15">
      <c r="A37"/>
      <c r="B37"/>
      <c r="C37"/>
      <c r="D37"/>
      <c r="E37"/>
      <c r="F37"/>
      <c r="G37"/>
      <c r="H37" s="1"/>
      <c r="I37" s="1"/>
      <c r="J37" s="1"/>
      <c r="K37" s="1"/>
      <c r="L37" s="1"/>
      <c r="M37" s="1"/>
      <c r="N37" s="1"/>
      <c r="O37" s="1"/>
      <c r="P37" s="1"/>
      <c r="Q37" s="1"/>
      <c r="R37"/>
    </row>
    <row r="38" spans="1:18" ht="15" customHeight="1">
      <c r="A38"/>
      <c r="B38"/>
      <c r="C38"/>
      <c r="D38"/>
      <c r="E38"/>
      <c r="F38"/>
      <c r="G38"/>
      <c r="H38" s="1"/>
      <c r="I38" s="1"/>
      <c r="J38" s="1"/>
      <c r="K38" s="1"/>
      <c r="L38" s="1"/>
      <c r="M38" s="1"/>
      <c r="N38" s="1"/>
      <c r="O38" s="1"/>
      <c r="P38" s="1"/>
      <c r="Q38" s="1"/>
      <c r="R38"/>
    </row>
    <row r="39" spans="1:18" ht="13.5" customHeight="1">
      <c r="A39"/>
      <c r="B39"/>
      <c r="C39" s="1"/>
      <c r="D39" s="1"/>
      <c r="E39" s="1"/>
      <c r="F39" s="1"/>
      <c r="G39" s="1"/>
      <c r="H39" s="1"/>
      <c r="I39" s="1"/>
    </row>
    <row r="40" spans="1:18" ht="13.5" customHeight="1">
      <c r="A40"/>
      <c r="B40"/>
      <c r="C40" s="1"/>
      <c r="D40" s="1"/>
      <c r="E40" s="1"/>
      <c r="F40" s="1"/>
      <c r="G40" s="1"/>
      <c r="H40" s="1"/>
      <c r="I40" s="1"/>
    </row>
    <row r="41" spans="1:18" ht="21" customHeight="1">
      <c r="A41"/>
      <c r="B41"/>
      <c r="C41" s="1"/>
      <c r="D41" s="1"/>
      <c r="E41" s="1"/>
      <c r="F41" s="1"/>
      <c r="G41" s="1"/>
      <c r="H41" s="1"/>
      <c r="I41" s="1"/>
    </row>
    <row r="42" spans="1:18" ht="6" customHeight="1">
      <c r="A42"/>
      <c r="B42"/>
    </row>
    <row r="43" spans="1:18" ht="24" customHeight="1">
      <c r="A43"/>
      <c r="B43"/>
      <c r="C43" s="175"/>
      <c r="D43" s="175"/>
      <c r="E43" s="175"/>
      <c r="F43" s="175"/>
      <c r="G43" s="175"/>
      <c r="H43" s="175"/>
    </row>
    <row r="44" spans="1:18" ht="15">
      <c r="A44"/>
      <c r="B44"/>
    </row>
    <row r="45" spans="1:18" ht="15">
      <c r="A45"/>
      <c r="B45"/>
    </row>
    <row r="46" spans="1:18" ht="15">
      <c r="A46"/>
      <c r="B46"/>
    </row>
    <row r="47" spans="1:18" ht="15">
      <c r="A47"/>
      <c r="B47"/>
    </row>
    <row r="48" spans="1:18"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sheetData>
  <pageMargins left="0.51181102362204722" right="0.51181102362204722" top="0.55118110236220474" bottom="0.55118110236220474" header="0.31496062992125984" footer="0.31496062992125984"/>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7A5C-0FBD-4C36-BD87-3B555533FF82}">
  <sheetPr>
    <pageSetUpPr fitToPage="1"/>
  </sheetPr>
  <dimension ref="A1:I53"/>
  <sheetViews>
    <sheetView showGridLines="0" view="pageBreakPreview" zoomScaleNormal="120" zoomScaleSheetLayoutView="100" workbookViewId="0">
      <selection activeCell="L39" sqref="L39"/>
    </sheetView>
  </sheetViews>
  <sheetFormatPr baseColWidth="10" defaultColWidth="11.42578125" defaultRowHeight="13.5"/>
  <cols>
    <col min="1" max="1" width="25" style="48" customWidth="1"/>
    <col min="2" max="4" width="16.42578125" style="48" customWidth="1"/>
    <col min="5" max="5" width="9.28515625" style="48" customWidth="1"/>
    <col min="6" max="6" width="4.85546875" style="48"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9" s="291" customFormat="1" ht="15" customHeight="1">
      <c r="B1" s="1"/>
      <c r="C1" s="1"/>
      <c r="D1" s="1"/>
      <c r="E1" s="64" t="s">
        <v>48</v>
      </c>
    </row>
    <row r="2" spans="1:9" s="291" customFormat="1" ht="15" customHeight="1">
      <c r="B2" s="1"/>
      <c r="C2" s="1"/>
      <c r="D2" s="1"/>
      <c r="E2" s="6" t="s">
        <v>42</v>
      </c>
    </row>
    <row r="3" spans="1:9" s="291" customFormat="1" ht="15" customHeight="1">
      <c r="B3" s="1"/>
      <c r="C3" s="1"/>
      <c r="D3" s="1"/>
    </row>
    <row r="4" spans="1:9" s="291" customFormat="1" ht="5.25" customHeight="1">
      <c r="B4" s="1"/>
      <c r="C4" s="1"/>
      <c r="D4" s="1"/>
    </row>
    <row r="5" spans="1:9" s="291" customFormat="1" ht="15" customHeight="1">
      <c r="A5" s="367" t="s">
        <v>349</v>
      </c>
      <c r="B5" s="367"/>
      <c r="C5" s="367"/>
      <c r="D5" s="367"/>
      <c r="E5" s="302"/>
    </row>
    <row r="6" spans="1:9" s="291" customFormat="1" ht="8.1" customHeight="1">
      <c r="A6" s="5"/>
      <c r="B6" s="63"/>
      <c r="C6" s="65"/>
      <c r="D6" s="66"/>
    </row>
    <row r="7" spans="1:9" s="68" customFormat="1" ht="15" customHeight="1">
      <c r="A7" s="76" t="s">
        <v>189</v>
      </c>
      <c r="B7" s="76" t="s">
        <v>0</v>
      </c>
      <c r="C7" s="67"/>
      <c r="D7" s="63"/>
    </row>
    <row r="8" spans="1:9" s="68" customFormat="1" ht="15" customHeight="1">
      <c r="A8" s="77">
        <v>2021</v>
      </c>
      <c r="B8" s="96">
        <f>$B$49</f>
        <v>85.70811744386873</v>
      </c>
      <c r="C8" s="69"/>
      <c r="D8" s="63"/>
    </row>
    <row r="9" spans="1:9" s="68" customFormat="1" ht="15" customHeight="1">
      <c r="A9" s="77">
        <v>2022</v>
      </c>
      <c r="B9" s="96">
        <f>$C$49</f>
        <v>77.453546192096312</v>
      </c>
      <c r="C9" s="67"/>
      <c r="D9" s="63"/>
    </row>
    <row r="10" spans="1:9" s="68" customFormat="1" ht="15" customHeight="1">
      <c r="A10" s="79" t="s">
        <v>314</v>
      </c>
      <c r="B10" s="96">
        <f>B9-B8</f>
        <v>-8.2545712517724183</v>
      </c>
      <c r="C10" s="67"/>
      <c r="D10" s="63"/>
    </row>
    <row r="11" spans="1:9" s="291" customFormat="1" ht="18.75">
      <c r="A11" s="71"/>
      <c r="B11" s="365"/>
      <c r="C11" s="365"/>
      <c r="D11" s="353"/>
    </row>
    <row r="12" spans="1:9" ht="15" hidden="1">
      <c r="A12" s="83" t="s">
        <v>341</v>
      </c>
      <c r="B12" s="47" t="s">
        <v>45</v>
      </c>
      <c r="D12" s="311"/>
      <c r="E12" s="291"/>
      <c r="F12" s="291"/>
      <c r="G12" s="2"/>
      <c r="H12" s="2"/>
      <c r="I12" s="2"/>
    </row>
    <row r="13" spans="1:9" ht="15">
      <c r="A13" s="47" t="s">
        <v>156</v>
      </c>
      <c r="B13" s="48">
        <v>2021</v>
      </c>
      <c r="C13" s="48">
        <v>2022</v>
      </c>
      <c r="D13" s="312" t="s">
        <v>331</v>
      </c>
      <c r="E13" s="291"/>
      <c r="F13" s="291"/>
      <c r="G13" s="2"/>
      <c r="H13" s="2"/>
      <c r="I13" s="2"/>
    </row>
    <row r="14" spans="1:9" ht="15">
      <c r="A14" s="49" t="s">
        <v>49</v>
      </c>
      <c r="B14" s="75">
        <v>85.838634081017744</v>
      </c>
      <c r="C14" s="75">
        <v>77.368207074129288</v>
      </c>
      <c r="D14" s="324">
        <f>GETPIVOTDATA("ACOLO",$A$12,"sost","Estatal","Año",2022)-GETPIVOTDATA("ACOLO",$A$12,"sost","Estatal","Año",2021)</f>
        <v>-8.4704270068884568</v>
      </c>
      <c r="E14" s="291"/>
      <c r="F14" s="291"/>
      <c r="G14" s="2"/>
      <c r="H14" s="2"/>
      <c r="I14" s="2"/>
    </row>
    <row r="15" spans="1:9" ht="15">
      <c r="A15" s="51" t="s">
        <v>1</v>
      </c>
      <c r="B15" s="75">
        <v>66.101694915254242</v>
      </c>
      <c r="C15" s="75">
        <v>60.810810810810814</v>
      </c>
      <c r="D15" s="327">
        <f>GETPIVOTDATA("ACOLO",$A$12,"sost","Estatal","entidad","Aguascalientes","Año",2022)-GETPIVOTDATA("ACOLO",$A$12,"sost","Estatal","entidad","Aguascalientes","Año",2021)</f>
        <v>-5.2908841044434283</v>
      </c>
      <c r="E15" s="291"/>
      <c r="F15" s="291"/>
      <c r="G15" s="2"/>
      <c r="H15" s="2"/>
      <c r="I15" s="2"/>
    </row>
    <row r="16" spans="1:9" ht="15">
      <c r="A16" s="51" t="s">
        <v>3</v>
      </c>
      <c r="B16" s="75">
        <v>99.586776859504127</v>
      </c>
      <c r="C16" s="75">
        <v>48.447204968944099</v>
      </c>
      <c r="D16" s="326">
        <f>GETPIVOTDATA("ACOLO",$A$12,"sost","Estatal","entidad","Baja California","Año",2022)-GETPIVOTDATA("ACOLO",$A$12,"sost","Estatal","entidad","Baja California","Año",2021)</f>
        <v>-51.139571890560028</v>
      </c>
      <c r="E16" s="291"/>
      <c r="F16" s="291"/>
      <c r="G16" s="2"/>
      <c r="H16" s="2"/>
      <c r="I16" s="2"/>
    </row>
    <row r="17" spans="1:9" ht="15">
      <c r="A17" s="51" t="s">
        <v>4</v>
      </c>
      <c r="B17" s="75">
        <v>0</v>
      </c>
      <c r="C17" s="75">
        <v>0</v>
      </c>
      <c r="D17" s="327">
        <f>GETPIVOTDATA("ACOLO",$A$12,"sost","Estatal","entidad","Baja California Sur","Año",2022)-GETPIVOTDATA("ACOLO",$A$12,"sost","Estatal","entidad","Baja California Sur","Año",2021)</f>
        <v>0</v>
      </c>
      <c r="E17" s="291"/>
      <c r="F17" s="291"/>
      <c r="G17" s="2"/>
      <c r="H17" s="2"/>
      <c r="I17" s="2"/>
    </row>
    <row r="18" spans="1:9" ht="15">
      <c r="A18" s="51" t="s">
        <v>5</v>
      </c>
      <c r="B18" s="75">
        <v>100</v>
      </c>
      <c r="C18" s="75">
        <v>96.774193548387103</v>
      </c>
      <c r="D18" s="326">
        <f>GETPIVOTDATA("ACOLO",$A$12,"sost","Estatal","entidad","Campeche","Año",2022)-GETPIVOTDATA("ACOLO",$A$12,"sost","Estatal","entidad","Campeche","Año",2021)</f>
        <v>-3.2258064516128968</v>
      </c>
      <c r="E18" s="291"/>
      <c r="F18" s="291"/>
      <c r="G18" s="2"/>
      <c r="H18" s="2"/>
      <c r="I18" s="2"/>
    </row>
    <row r="19" spans="1:9" ht="15">
      <c r="A19" s="51" t="s">
        <v>6</v>
      </c>
      <c r="B19" s="75">
        <v>72.115384615384613</v>
      </c>
      <c r="C19" s="75">
        <v>77.777777777777786</v>
      </c>
      <c r="D19" s="327">
        <f>GETPIVOTDATA("ACOLO",$A$12,"sost","Estatal","entidad","Chiapas","Año",2022)-GETPIVOTDATA("ACOLO",$A$12,"sost","Estatal","entidad","Chiapas","Año",2021)</f>
        <v>5.6623931623931725</v>
      </c>
      <c r="E19" s="291"/>
      <c r="F19" s="291"/>
      <c r="G19" s="2"/>
      <c r="H19" s="2"/>
      <c r="I19" s="2"/>
    </row>
    <row r="20" spans="1:9" ht="15">
      <c r="A20" s="51" t="s">
        <v>7</v>
      </c>
      <c r="B20" s="75">
        <v>92.035398230088489</v>
      </c>
      <c r="C20" s="75">
        <v>98.936170212765958</v>
      </c>
      <c r="D20" s="326">
        <f>GETPIVOTDATA("ACOLO",$A$12,"sost","Estatal","entidad","Chihuahua","Año",2022)-GETPIVOTDATA("ACOLO",$A$12,"sost","Estatal","entidad","Chihuahua","Año",2021)</f>
        <v>6.9007719826774689</v>
      </c>
      <c r="E20" s="291"/>
      <c r="F20" s="291"/>
      <c r="G20" s="2"/>
      <c r="H20" s="2"/>
      <c r="I20" s="2"/>
    </row>
    <row r="21" spans="1:9" ht="15">
      <c r="A21" s="51" t="s">
        <v>31</v>
      </c>
      <c r="B21" s="75">
        <v>87.20930232558139</v>
      </c>
      <c r="C21" s="75">
        <v>11.061946902654867</v>
      </c>
      <c r="D21" s="327">
        <f>GETPIVOTDATA("ACOLO",$A$12,"sost","Estatal","entidad","Coahuila de Zaragoza","Año",2022)-GETPIVOTDATA("ACOLO",$A$12,"sost","Estatal","entidad","Coahuila de Zaragoza","Año",2021)</f>
        <v>-76.147355422926523</v>
      </c>
      <c r="E21" s="291"/>
      <c r="F21" s="291"/>
      <c r="G21" s="2"/>
      <c r="H21" s="2"/>
      <c r="I21" s="2"/>
    </row>
    <row r="22" spans="1:9" ht="15">
      <c r="A22" s="51" t="s">
        <v>8</v>
      </c>
      <c r="B22" s="75">
        <v>9.5238095238095237</v>
      </c>
      <c r="C22" s="75">
        <v>50</v>
      </c>
      <c r="D22" s="326">
        <f>GETPIVOTDATA("ACOLO",$A$12,"sost","Estatal","entidad","Colima","Año",2022)-GETPIVOTDATA("ACOLO",$A$12,"sost","Estatal","entidad","Colima","Año",2021)</f>
        <v>40.476190476190474</v>
      </c>
      <c r="E22" s="291"/>
      <c r="F22" s="291"/>
      <c r="G22" s="2"/>
      <c r="H22" s="2"/>
      <c r="I22" s="2"/>
    </row>
    <row r="23" spans="1:9" ht="15">
      <c r="A23" s="51" t="s">
        <v>9</v>
      </c>
      <c r="B23" s="75">
        <v>100</v>
      </c>
      <c r="C23" s="75">
        <v>100</v>
      </c>
      <c r="D23" s="327">
        <f>GETPIVOTDATA("ACOLO",$A$12,"sost","Estatal","entidad","Durango","Año",2022)-GETPIVOTDATA("ACOLO",$A$12,"sost","Estatal","entidad","Durango","Año",2021)</f>
        <v>0</v>
      </c>
      <c r="E23" s="291"/>
      <c r="F23" s="291"/>
      <c r="G23" s="2"/>
      <c r="H23" s="2"/>
      <c r="I23" s="2"/>
    </row>
    <row r="24" spans="1:9" ht="15">
      <c r="A24" s="51" t="s">
        <v>10</v>
      </c>
      <c r="B24" s="75">
        <v>78.609625668449198</v>
      </c>
      <c r="C24" s="75">
        <v>82.586558044806509</v>
      </c>
      <c r="D24" s="326">
        <f>GETPIVOTDATA("ACOLO",$A$12,"sost","Estatal","entidad","Guanajuato","Año",2022)-GETPIVOTDATA("ACOLO",$A$12,"sost","Estatal","entidad","Guanajuato","Año",2021)</f>
        <v>3.9769323763573112</v>
      </c>
      <c r="E24" s="291"/>
      <c r="F24" s="291"/>
      <c r="G24" s="2"/>
      <c r="H24" s="2"/>
      <c r="I24" s="2"/>
    </row>
    <row r="25" spans="1:9" ht="15">
      <c r="A25" s="51" t="s">
        <v>11</v>
      </c>
      <c r="B25" s="75">
        <v>100</v>
      </c>
      <c r="C25" s="75">
        <v>20.833333333333336</v>
      </c>
      <c r="D25" s="327">
        <f>GETPIVOTDATA("ACOLO",$A$12,"sost","Estatal","entidad","Guerrero","Año",2022)-GETPIVOTDATA("ACOLO",$A$12,"sost","Estatal","entidad","Guerrero","Año",2021)</f>
        <v>-79.166666666666657</v>
      </c>
      <c r="E25" s="291"/>
      <c r="F25" s="291"/>
      <c r="G25" s="2"/>
      <c r="H25" s="2"/>
      <c r="I25" s="2"/>
    </row>
    <row r="26" spans="1:9" ht="15">
      <c r="A26" s="51" t="s">
        <v>12</v>
      </c>
      <c r="B26" s="75">
        <v>82.857142857142861</v>
      </c>
      <c r="C26" s="75">
        <v>93.939393939393938</v>
      </c>
      <c r="D26" s="326">
        <f>GETPIVOTDATA("ACOLO",$A$12,"sost","Estatal","entidad","Hidalgo","Año",2022)-GETPIVOTDATA("ACOLO",$A$12,"sost","Estatal","entidad","Hidalgo","Año",2021)</f>
        <v>11.082251082251076</v>
      </c>
      <c r="E26" s="291"/>
      <c r="F26" s="291"/>
      <c r="G26" s="2"/>
      <c r="H26" s="2"/>
      <c r="I26" s="2"/>
    </row>
    <row r="27" spans="1:9" ht="15">
      <c r="A27" s="51" t="s">
        <v>13</v>
      </c>
      <c r="B27" s="75">
        <v>88.979963570127509</v>
      </c>
      <c r="C27" s="75">
        <v>87.078109932497597</v>
      </c>
      <c r="D27" s="327">
        <f>GETPIVOTDATA("ACOLO",$A$12,"sost","Estatal","entidad","Jalisco","Año",2022)-GETPIVOTDATA("ACOLO",$A$12,"sost","Estatal","entidad","Jalisco","Año",2021)</f>
        <v>-1.9018536376299124</v>
      </c>
      <c r="E27" s="291"/>
      <c r="F27" s="291"/>
      <c r="G27" s="2"/>
      <c r="H27" s="2"/>
      <c r="I27" s="2"/>
    </row>
    <row r="28" spans="1:9" ht="15">
      <c r="A28" s="51" t="s">
        <v>14</v>
      </c>
      <c r="B28" s="75">
        <v>85.865150284321686</v>
      </c>
      <c r="C28" s="75">
        <v>81.786941580756007</v>
      </c>
      <c r="D28" s="326">
        <f>GETPIVOTDATA("ACOLO",$A$12,"sost","Estatal","entidad","México","Año",2022)-GETPIVOTDATA("ACOLO",$A$12,"sost","Estatal","entidad","México","Año",2021)</f>
        <v>-4.0782087035656787</v>
      </c>
      <c r="E28" s="291"/>
      <c r="F28" s="291"/>
      <c r="G28" s="2"/>
      <c r="H28" s="2"/>
      <c r="I28" s="2"/>
    </row>
    <row r="29" spans="1:9" ht="15">
      <c r="A29" s="51" t="s">
        <v>30</v>
      </c>
      <c r="B29" s="75">
        <v>97.368421052631575</v>
      </c>
      <c r="C29" s="75">
        <v>89.024390243902445</v>
      </c>
      <c r="D29" s="327">
        <f>GETPIVOTDATA("ACOLO",$A$12,"sost","Estatal","entidad","Michoacán de Ocampo","Año",2022)-GETPIVOTDATA("ACOLO",$A$12,"sost","Estatal","entidad","Michoacán de Ocampo","Año",2021)</f>
        <v>-8.3440308087291299</v>
      </c>
      <c r="E29" s="291"/>
      <c r="F29" s="291"/>
      <c r="G29" s="2"/>
      <c r="H29" s="2"/>
      <c r="I29" s="2"/>
    </row>
    <row r="30" spans="1:9" ht="15">
      <c r="A30" s="51" t="s">
        <v>15</v>
      </c>
      <c r="B30" s="75">
        <v>90.760869565217391</v>
      </c>
      <c r="C30" s="75">
        <v>97.752808988764045</v>
      </c>
      <c r="D30" s="326">
        <f>GETPIVOTDATA("ACOLO",$A$12,"sost","Estatal","entidad","Morelos","Año",2022)-GETPIVOTDATA("ACOLO",$A$12,"sost","Estatal","entidad","Morelos","Año",2021)</f>
        <v>6.9919394235466541</v>
      </c>
      <c r="E30" s="291"/>
      <c r="F30" s="291"/>
      <c r="G30" s="2"/>
      <c r="H30" s="2"/>
      <c r="I30" s="2"/>
    </row>
    <row r="31" spans="1:9" ht="15">
      <c r="A31" s="51" t="s">
        <v>16</v>
      </c>
      <c r="B31" s="75">
        <v>100</v>
      </c>
      <c r="C31" s="75">
        <v>84.210526315789465</v>
      </c>
      <c r="D31" s="327">
        <f>GETPIVOTDATA("ACOLO",$A$12,"sost","Estatal","entidad","Nayarit","Año",2022)-GETPIVOTDATA("ACOLO",$A$12,"sost","Estatal","entidad","Nayarit","Año",2021)</f>
        <v>-15.789473684210535</v>
      </c>
      <c r="E31" s="291"/>
      <c r="F31" s="291"/>
      <c r="G31" s="2"/>
      <c r="H31" s="2"/>
      <c r="I31" s="2"/>
    </row>
    <row r="32" spans="1:9" ht="15">
      <c r="A32" s="51" t="s">
        <v>17</v>
      </c>
      <c r="B32" s="75">
        <v>89.93618065783015</v>
      </c>
      <c r="C32" s="75">
        <v>81.905298759864706</v>
      </c>
      <c r="D32" s="326">
        <f>GETPIVOTDATA("ACOLO",$A$12,"sost","Estatal","entidad","Nuevo León","Año",2022)-GETPIVOTDATA("ACOLO",$A$12,"sost","Estatal","entidad","Nuevo León","Año",2021)</f>
        <v>-8.0308818979654433</v>
      </c>
      <c r="E32" s="291"/>
      <c r="F32" s="291"/>
      <c r="G32" s="2"/>
      <c r="H32" s="2"/>
      <c r="I32" s="2"/>
    </row>
    <row r="33" spans="1:9" ht="15">
      <c r="A33" s="51" t="s">
        <v>18</v>
      </c>
      <c r="B33" s="75">
        <v>96.703296703296701</v>
      </c>
      <c r="C33" s="75">
        <v>100</v>
      </c>
      <c r="D33" s="327">
        <f>GETPIVOTDATA("ACOLO",$A$12,"sost","Estatal","entidad","Puebla","Año",2022)-GETPIVOTDATA("ACOLO",$A$12,"sost","Estatal","entidad","Puebla","Año",2021)</f>
        <v>3.2967032967032992</v>
      </c>
      <c r="E33" s="291"/>
      <c r="F33" s="291"/>
      <c r="G33" s="2"/>
      <c r="H33" s="2"/>
      <c r="I33" s="2"/>
    </row>
    <row r="34" spans="1:9" ht="15">
      <c r="A34" s="51" t="s">
        <v>29</v>
      </c>
      <c r="B34" s="75">
        <v>85.802469135802468</v>
      </c>
      <c r="C34" s="75">
        <v>85.714285714285708</v>
      </c>
      <c r="D34" s="326">
        <f>GETPIVOTDATA("ACOLO",$A$12,"sost","Estatal","entidad","Querétaro de Arteaga","Año",2022)-GETPIVOTDATA("ACOLO",$A$12,"sost","Estatal","entidad","Querétaro de Arteaga","Año",2021)</f>
        <v>-8.8183421516760063E-2</v>
      </c>
      <c r="E34" s="291"/>
      <c r="F34" s="291"/>
      <c r="G34" s="2"/>
      <c r="H34" s="2"/>
      <c r="I34" s="2"/>
    </row>
    <row r="35" spans="1:9" ht="15">
      <c r="A35" s="51" t="s">
        <v>19</v>
      </c>
      <c r="B35" s="75">
        <v>21.311475409836063</v>
      </c>
      <c r="C35" s="75">
        <v>29.487179487179489</v>
      </c>
      <c r="D35" s="327">
        <f>GETPIVOTDATA("ACOLO",$A$12,"sost","Estatal","entidad","Quintana Roo","Año",2022)-GETPIVOTDATA("ACOLO",$A$12,"sost","Estatal","entidad","Quintana Roo","Año",2021)</f>
        <v>8.1757040773434255</v>
      </c>
      <c r="E35" s="291"/>
      <c r="F35" s="291"/>
      <c r="G35" s="2"/>
      <c r="H35" s="2"/>
      <c r="I35" s="2"/>
    </row>
    <row r="36" spans="1:9" ht="15">
      <c r="A36" s="51" t="s">
        <v>20</v>
      </c>
      <c r="B36" s="75">
        <v>99.857549857549856</v>
      </c>
      <c r="C36" s="75">
        <v>86.173633440514479</v>
      </c>
      <c r="D36" s="326">
        <f>GETPIVOTDATA("ACOLO",$A$12,"sost","Estatal","entidad","San Luis Potosí","Año",2022)-GETPIVOTDATA("ACOLO",$A$12,"sost","Estatal","entidad","San Luis Potosí","Año",2021)</f>
        <v>-13.683916417035377</v>
      </c>
      <c r="E36" s="291"/>
      <c r="F36" s="291"/>
      <c r="G36" s="2"/>
      <c r="H36" s="2"/>
      <c r="I36" s="2"/>
    </row>
    <row r="37" spans="1:9" ht="15">
      <c r="A37" s="51" t="s">
        <v>21</v>
      </c>
      <c r="B37" s="75">
        <v>55.477031802120138</v>
      </c>
      <c r="C37" s="75">
        <v>46.05263157894737</v>
      </c>
      <c r="D37" s="327">
        <f>GETPIVOTDATA("ACOLO",$A$12,"sost","Estatal","entidad","Sinaloa","Año",2022)-GETPIVOTDATA("ACOLO",$A$12,"sost","Estatal","entidad","Sinaloa","Año",2021)</f>
        <v>-9.4244002231727677</v>
      </c>
      <c r="E37" s="291"/>
      <c r="F37" s="291"/>
      <c r="G37" s="2"/>
      <c r="H37" s="2"/>
      <c r="I37" s="2"/>
    </row>
    <row r="38" spans="1:9" ht="15">
      <c r="A38" s="51" t="s">
        <v>22</v>
      </c>
      <c r="B38" s="75">
        <v>84</v>
      </c>
      <c r="C38" s="75">
        <v>89.230769230769241</v>
      </c>
      <c r="D38" s="326">
        <f>GETPIVOTDATA("ACOLO",$A$12,"sost","Estatal","entidad","Sonora","Año",2022)-GETPIVOTDATA("ACOLO",$A$12,"sost","Estatal","entidad","Sonora","Año",2021)</f>
        <v>5.2307692307692406</v>
      </c>
      <c r="E38" s="291"/>
      <c r="F38" s="291"/>
      <c r="G38" s="2"/>
      <c r="H38" s="2"/>
      <c r="I38" s="2"/>
    </row>
    <row r="39" spans="1:9" ht="15">
      <c r="A39" s="51" t="s">
        <v>23</v>
      </c>
      <c r="B39" s="75">
        <v>80</v>
      </c>
      <c r="C39" s="75">
        <v>92.592592592592595</v>
      </c>
      <c r="D39" s="327">
        <f>GETPIVOTDATA("ACOLO",$A$12,"sost","Estatal","entidad","Tabasco","Año",2022)-GETPIVOTDATA("ACOLO",$A$12,"sost","Estatal","entidad","Tabasco","Año",2021)</f>
        <v>12.592592592592595</v>
      </c>
      <c r="E39" s="291"/>
      <c r="F39" s="291"/>
      <c r="G39" s="2"/>
      <c r="H39" s="2"/>
      <c r="I39" s="2"/>
    </row>
    <row r="40" spans="1:9" ht="15">
      <c r="A40" s="51" t="s">
        <v>24</v>
      </c>
      <c r="B40" s="75">
        <v>92.233009708737868</v>
      </c>
      <c r="C40" s="75">
        <v>100</v>
      </c>
      <c r="D40" s="326">
        <f>GETPIVOTDATA("ACOLO",$A$12,"sost","Estatal","entidad","Tamaulipas","Año",2022)-GETPIVOTDATA("ACOLO",$A$12,"sost","Estatal","entidad","Tamaulipas","Año",2021)</f>
        <v>7.7669902912621325</v>
      </c>
      <c r="E40" s="291"/>
      <c r="F40" s="291"/>
      <c r="G40" s="2"/>
      <c r="H40" s="2"/>
      <c r="I40" s="2"/>
    </row>
    <row r="41" spans="1:9" ht="15">
      <c r="A41" s="51" t="s">
        <v>25</v>
      </c>
      <c r="B41" s="75">
        <v>85</v>
      </c>
      <c r="C41" s="75">
        <v>100</v>
      </c>
      <c r="D41" s="327">
        <f>GETPIVOTDATA("ACOLO",$A$12,"sost","Estatal","entidad","Tlaxcala","Año",2022)-GETPIVOTDATA("ACOLO",$A$12,"sost","Estatal","entidad","Tlaxcala","Año",2021)</f>
        <v>15</v>
      </c>
      <c r="E41" s="291"/>
      <c r="F41" s="291"/>
      <c r="G41" s="2"/>
      <c r="H41" s="2"/>
      <c r="I41" s="2"/>
    </row>
    <row r="42" spans="1:9" ht="15">
      <c r="A42" s="51" t="s">
        <v>53</v>
      </c>
      <c r="B42" s="75">
        <v>87.341772151898738</v>
      </c>
      <c r="C42" s="75">
        <v>12.962962962962962</v>
      </c>
      <c r="D42" s="326">
        <f>GETPIVOTDATA("ACOLO",$A$12,"sost","Estatal","entidad","Veracruz llave","Año",2022)-GETPIVOTDATA("ACOLO",$A$12,"sost","Estatal","entidad","Veracruz llave","Año",2021)</f>
        <v>-74.378809188935776</v>
      </c>
      <c r="E42" s="291"/>
      <c r="F42" s="291"/>
      <c r="G42" s="2"/>
      <c r="H42" s="2"/>
      <c r="I42" s="2"/>
    </row>
    <row r="43" spans="1:9" ht="15">
      <c r="A43" s="51" t="s">
        <v>26</v>
      </c>
      <c r="B43" s="75">
        <v>58.620689655172406</v>
      </c>
      <c r="C43" s="75">
        <v>98.843930635838149</v>
      </c>
      <c r="D43" s="327">
        <f>GETPIVOTDATA("ACOLO",$A$12,"sost","Estatal","entidad","Yucatán","Año",2022)-GETPIVOTDATA("ACOLO",$A$12,"sost","Estatal","entidad","Yucatán","Año",2021)</f>
        <v>40.223240980665743</v>
      </c>
      <c r="E43" s="291"/>
      <c r="F43" s="291"/>
      <c r="G43" s="2"/>
      <c r="H43" s="2"/>
      <c r="I43" s="2"/>
    </row>
    <row r="44" spans="1:9" ht="15">
      <c r="A44" s="51" t="s">
        <v>27</v>
      </c>
      <c r="B44" s="75">
        <v>100</v>
      </c>
      <c r="C44" s="75">
        <v>92.307692307692307</v>
      </c>
      <c r="D44" s="326">
        <f>GETPIVOTDATA("ACOLO",$A$12,"sost","Estatal","entidad","Zacatecas","Año",2022)-GETPIVOTDATA("ACOLO",$A$12,"sost","Estatal","entidad","Zacatecas","Año",2021)</f>
        <v>-7.6923076923076934</v>
      </c>
      <c r="E44" s="291"/>
      <c r="F44" s="291"/>
      <c r="G44" s="2"/>
      <c r="H44" s="2"/>
      <c r="I44" s="2"/>
    </row>
    <row r="45" spans="1:9" ht="15">
      <c r="A45" s="49" t="s">
        <v>50</v>
      </c>
      <c r="B45" s="80">
        <v>81.848184818481855</v>
      </c>
      <c r="C45" s="80">
        <v>79.847908745247153</v>
      </c>
      <c r="D45" s="328">
        <f>GETPIVOTDATA("ACOLO",$A$12,"sost","Federal","Año",2022)-GETPIVOTDATA("ACOLO",$A$12,"sost","Federal","Año",2021)</f>
        <v>-2.0002760732347014</v>
      </c>
      <c r="E45" s="291"/>
      <c r="F45" s="291"/>
      <c r="G45" s="2"/>
      <c r="H45" s="2"/>
      <c r="I45" s="2"/>
    </row>
    <row r="46" spans="1:9" ht="15">
      <c r="A46" s="51" t="s">
        <v>32</v>
      </c>
      <c r="B46" s="75">
        <v>87.188612099644132</v>
      </c>
      <c r="C46" s="75">
        <v>79.847908745247153</v>
      </c>
      <c r="D46" s="326">
        <f>GETPIVOTDATA("ACOLO",$A$12,"sost","Federal","entidad","Ciudad de México","Año",2022)-GETPIVOTDATA("ACOLO",$A$12,"sost","Federal","entidad","Ciudad de México","Año",2021)</f>
        <v>-7.3407033543969789</v>
      </c>
      <c r="E46" s="291"/>
      <c r="F46" s="291"/>
      <c r="G46" s="2"/>
      <c r="H46" s="2"/>
      <c r="I46" s="2"/>
    </row>
    <row r="47" spans="1:9" ht="15">
      <c r="A47" s="51" t="s">
        <v>28</v>
      </c>
      <c r="B47" s="75">
        <v>13.636363636363635</v>
      </c>
      <c r="C47" s="75">
        <v>0</v>
      </c>
      <c r="D47" s="327">
        <f>GETPIVOTDATA("ACOLO",$A$12,"sost","Federal","entidad","Oaxaca","Año",2022)-GETPIVOTDATA("ACOLO",$A$12,"sost","Federal","entidad","Oaxaca","Año",2021)</f>
        <v>-13.636363636363635</v>
      </c>
      <c r="E47" s="291"/>
      <c r="F47" s="291"/>
      <c r="G47" s="2"/>
      <c r="H47" s="2"/>
      <c r="I47" s="2"/>
    </row>
    <row r="48" spans="1:9" ht="15" hidden="1">
      <c r="A48" s="51" t="s">
        <v>39</v>
      </c>
      <c r="B48" s="75">
        <v>0</v>
      </c>
      <c r="C48" s="75">
        <v>0</v>
      </c>
      <c r="D48" s="336">
        <f>GETPIVOTDATA("ACOLO",$A$12,"sost","Federal","entidad","Oficinas Nacionales","Año",2022)-GETPIVOTDATA("ACOLO",$A$12,"sost","Federal","entidad","Oficinas Nacionales","Año",2021)</f>
        <v>0</v>
      </c>
      <c r="E48" s="291"/>
      <c r="F48" s="291"/>
    </row>
    <row r="49" spans="1:6" ht="15" hidden="1">
      <c r="A49" s="49" t="s">
        <v>37</v>
      </c>
      <c r="B49" s="75">
        <v>85.70811744386873</v>
      </c>
      <c r="C49" s="75">
        <v>77.453546192096312</v>
      </c>
      <c r="D49" s="337">
        <f>GETPIVOTDATA("ACOLO",$A$12,"Año",2022)-GETPIVOTDATA("ACOLO",$A$12,"Año",2021)</f>
        <v>-8.2545712517724183</v>
      </c>
      <c r="E49" s="291"/>
      <c r="F49" s="291"/>
    </row>
    <row r="50" spans="1:6" ht="15">
      <c r="A50"/>
      <c r="B50"/>
      <c r="C50"/>
      <c r="D50" s="291"/>
      <c r="E50" s="291"/>
      <c r="F50" s="291"/>
    </row>
    <row r="51" spans="1:6" ht="15">
      <c r="A51" s="291"/>
      <c r="B51" s="291"/>
      <c r="C51" s="291"/>
      <c r="D51" s="291"/>
      <c r="E51" s="291"/>
      <c r="F51" s="291"/>
    </row>
    <row r="52" spans="1:6" ht="6.75" customHeight="1">
      <c r="A52" s="291"/>
      <c r="B52" s="291"/>
      <c r="C52" s="291"/>
      <c r="D52" s="291"/>
    </row>
    <row r="53" spans="1:6" ht="14.25" customHeight="1">
      <c r="A53" s="84" t="s">
        <v>276</v>
      </c>
      <c r="B53" s="85"/>
      <c r="C53" s="85"/>
      <c r="D53" s="85"/>
    </row>
  </sheetData>
  <mergeCells count="2">
    <mergeCell ref="A5:D5"/>
    <mergeCell ref="B11:C11"/>
  </mergeCells>
  <printOptions horizontalCentered="1"/>
  <pageMargins left="0.70866141732283472" right="0.70866141732283472" top="0.74803149606299213" bottom="0.74803149606299213" header="0.31496062992125984" footer="0.31496062992125984"/>
  <pageSetup paperSize="9" orientation="portrait"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L56"/>
  <sheetViews>
    <sheetView showGridLines="0" view="pageBreakPreview" topLeftCell="A40" zoomScale="115" zoomScaleNormal="120" zoomScaleSheetLayoutView="115" workbookViewId="0">
      <selection activeCell="L39" sqref="L39"/>
    </sheetView>
  </sheetViews>
  <sheetFormatPr baseColWidth="10" defaultColWidth="11.42578125" defaultRowHeight="13.5"/>
  <cols>
    <col min="1" max="1" width="23.5703125" style="48" customWidth="1"/>
    <col min="2" max="8" width="9.28515625" style="48" customWidth="1"/>
    <col min="9" max="9" width="15.140625" style="48" bestFit="1" customWidth="1"/>
    <col min="10" max="10" width="11.5703125" style="48" bestFit="1" customWidth="1"/>
    <col min="11" max="11" width="15.140625" style="48" bestFit="1" customWidth="1"/>
    <col min="12" max="12" width="11.5703125" style="48" bestFit="1" customWidth="1"/>
    <col min="13" max="13" width="20.140625" style="48" bestFit="1" customWidth="1"/>
    <col min="14" max="14" width="16.5703125" style="48" bestFit="1" customWidth="1"/>
    <col min="15" max="16384" width="11.42578125" style="48"/>
  </cols>
  <sheetData>
    <row r="1" spans="1:12" s="3" customFormat="1" ht="15" customHeight="1">
      <c r="B1" s="1"/>
      <c r="C1" s="1"/>
      <c r="D1" s="1"/>
      <c r="E1" s="1"/>
      <c r="F1" s="1"/>
      <c r="H1" s="64" t="s">
        <v>48</v>
      </c>
    </row>
    <row r="2" spans="1:12" s="3" customFormat="1" ht="15" customHeight="1">
      <c r="B2" s="1"/>
      <c r="C2" s="1"/>
      <c r="D2" s="1"/>
      <c r="E2" s="1"/>
      <c r="F2" s="1"/>
      <c r="H2" s="6" t="s">
        <v>42</v>
      </c>
    </row>
    <row r="3" spans="1:12" s="3" customFormat="1" ht="15" customHeight="1">
      <c r="B3" s="1"/>
      <c r="C3" s="1"/>
      <c r="D3" s="1"/>
      <c r="E3" s="1"/>
      <c r="F3" s="1"/>
      <c r="G3" s="1"/>
      <c r="H3" s="63"/>
    </row>
    <row r="4" spans="1:12" s="3" customFormat="1" ht="5.25" customHeight="1">
      <c r="B4" s="1"/>
      <c r="C4" s="1"/>
      <c r="D4" s="1"/>
      <c r="E4" s="1"/>
      <c r="F4" s="1"/>
      <c r="G4" s="1"/>
      <c r="H4" s="63"/>
    </row>
    <row r="5" spans="1:12" s="3" customFormat="1" ht="15" customHeight="1">
      <c r="A5" s="367" t="s">
        <v>188</v>
      </c>
      <c r="B5" s="367"/>
      <c r="C5" s="367"/>
      <c r="D5" s="367"/>
      <c r="E5" s="367"/>
      <c r="F5" s="367"/>
      <c r="G5" s="367"/>
      <c r="H5" s="302"/>
    </row>
    <row r="6" spans="1:12" s="3" customFormat="1" ht="8.1" customHeight="1">
      <c r="A6" s="5"/>
      <c r="B6" s="63"/>
      <c r="C6" s="65"/>
      <c r="D6" s="65"/>
      <c r="E6" s="66"/>
      <c r="F6" s="66"/>
      <c r="G6" s="66"/>
      <c r="H6" s="66"/>
    </row>
    <row r="7" spans="1:12" s="68" customFormat="1" ht="15" customHeight="1">
      <c r="A7" s="76" t="s">
        <v>189</v>
      </c>
      <c r="B7" s="76" t="s">
        <v>0</v>
      </c>
      <c r="C7" s="67"/>
      <c r="D7" s="67"/>
      <c r="E7" s="63"/>
      <c r="F7" s="63"/>
      <c r="G7" s="63"/>
      <c r="H7" s="63"/>
    </row>
    <row r="8" spans="1:12" s="68" customFormat="1" ht="15" customHeight="1">
      <c r="A8" s="77">
        <v>2018</v>
      </c>
      <c r="B8" s="96">
        <f>$B$52</f>
        <v>3.9060089196677703</v>
      </c>
      <c r="C8" s="69"/>
      <c r="D8" s="67"/>
      <c r="E8" s="63"/>
      <c r="F8" s="63"/>
      <c r="G8" s="63"/>
      <c r="H8" s="63"/>
    </row>
    <row r="9" spans="1:12" s="68" customFormat="1" ht="15" customHeight="1">
      <c r="A9" s="77">
        <v>2019</v>
      </c>
      <c r="B9" s="96">
        <f>$C$52</f>
        <v>3.8387527810538766</v>
      </c>
      <c r="C9" s="67"/>
      <c r="D9" s="67"/>
      <c r="E9" s="63"/>
      <c r="F9" s="63"/>
      <c r="G9" s="63"/>
      <c r="H9" s="63"/>
    </row>
    <row r="10" spans="1:12" s="68" customFormat="1" ht="15" customHeight="1">
      <c r="A10" s="77">
        <v>2020</v>
      </c>
      <c r="B10" s="96">
        <f>$D$52</f>
        <v>0.4162446137360723</v>
      </c>
      <c r="C10" s="67"/>
      <c r="D10" s="67"/>
      <c r="E10" s="63"/>
      <c r="F10" s="63"/>
      <c r="G10" s="63"/>
      <c r="H10" s="63"/>
    </row>
    <row r="11" spans="1:12" s="68" customFormat="1" ht="15" customHeight="1">
      <c r="A11" s="77">
        <v>2021</v>
      </c>
      <c r="B11" s="96">
        <f>$E$52</f>
        <v>1.9934327143811932</v>
      </c>
      <c r="C11" s="67"/>
      <c r="D11" s="67"/>
      <c r="E11" s="63"/>
      <c r="F11" s="63"/>
      <c r="G11" s="63"/>
      <c r="H11" s="63"/>
    </row>
    <row r="12" spans="1:12" s="68" customFormat="1" ht="15" customHeight="1">
      <c r="A12" s="77">
        <v>2022</v>
      </c>
      <c r="B12" s="96">
        <f>$F$52</f>
        <v>3.0219309584398837</v>
      </c>
      <c r="C12" s="67"/>
      <c r="D12" s="67"/>
      <c r="E12" s="63"/>
      <c r="F12" s="63"/>
      <c r="G12" s="63"/>
      <c r="H12" s="63"/>
    </row>
    <row r="13" spans="1:12" s="68" customFormat="1" ht="15" customHeight="1">
      <c r="A13" s="79" t="s">
        <v>314</v>
      </c>
      <c r="B13" s="96">
        <f>B12-B11</f>
        <v>1.0284982440586905</v>
      </c>
      <c r="C13" s="67"/>
      <c r="D13" s="67"/>
      <c r="E13" s="63"/>
      <c r="F13" s="63"/>
      <c r="G13" s="63"/>
      <c r="H13" s="63"/>
    </row>
    <row r="14" spans="1:12" s="3" customFormat="1" ht="18" customHeight="1">
      <c r="A14" s="71"/>
      <c r="B14" s="365"/>
      <c r="C14" s="365"/>
      <c r="D14" s="365"/>
      <c r="E14" s="366"/>
      <c r="F14" s="366"/>
      <c r="G14" s="366"/>
      <c r="H14" s="109"/>
    </row>
    <row r="15" spans="1:12" ht="15" hidden="1">
      <c r="A15" s="83" t="s">
        <v>190</v>
      </c>
      <c r="B15" s="47" t="s">
        <v>45</v>
      </c>
      <c r="G15" s="311"/>
      <c r="H15" s="311"/>
      <c r="I15"/>
      <c r="J15" s="2"/>
      <c r="K15" s="2"/>
      <c r="L15" s="2"/>
    </row>
    <row r="16" spans="1:12" ht="27">
      <c r="A16" s="47" t="s">
        <v>156</v>
      </c>
      <c r="B16" s="48">
        <v>2018</v>
      </c>
      <c r="C16" s="48">
        <v>2019</v>
      </c>
      <c r="D16" s="48">
        <v>2020</v>
      </c>
      <c r="E16" s="48">
        <v>2021</v>
      </c>
      <c r="F16" s="48">
        <v>2022</v>
      </c>
      <c r="G16" s="313" t="s">
        <v>331</v>
      </c>
      <c r="H16" s="313" t="s">
        <v>332</v>
      </c>
      <c r="I16"/>
      <c r="J16" s="2"/>
      <c r="K16" s="2"/>
      <c r="L16" s="2"/>
    </row>
    <row r="17" spans="1:12" ht="15">
      <c r="A17" s="49" t="s">
        <v>49</v>
      </c>
      <c r="B17" s="75">
        <v>4.273185730424756</v>
      </c>
      <c r="C17" s="75">
        <v>4.305904056156149</v>
      </c>
      <c r="D17" s="75">
        <v>0.50003918802413982</v>
      </c>
      <c r="E17" s="75">
        <v>2.3675029720048797</v>
      </c>
      <c r="F17" s="75">
        <v>3.4431237626331908</v>
      </c>
      <c r="G17" s="324">
        <f>GETPIVOTDATA("BECEXT",$A$15,"sost","Estatal","Año",2022)-GETPIVOTDATA("BECEXT",$A$15,"sost","Estatal","Año",2021)</f>
        <v>1.0756207906283111</v>
      </c>
      <c r="H17" s="324">
        <f>GETPIVOTDATA("BECEXT",$A$15,"sost","Estatal","Año",2022)-GETPIVOTDATA("BECEXT",$A$15,"sost","Estatal","Año",2018)</f>
        <v>-0.83006196779156527</v>
      </c>
      <c r="I17"/>
      <c r="J17" s="2"/>
      <c r="K17" s="2"/>
      <c r="L17" s="2"/>
    </row>
    <row r="18" spans="1:12" ht="15">
      <c r="A18" s="51" t="s">
        <v>1</v>
      </c>
      <c r="B18" s="75">
        <v>6.3525900660839909</v>
      </c>
      <c r="C18" s="75">
        <v>5.0529567519858789</v>
      </c>
      <c r="D18" s="75">
        <v>4.4140366365040831E-2</v>
      </c>
      <c r="E18" s="75">
        <v>1.6757139485485013</v>
      </c>
      <c r="F18" s="75">
        <v>4.0820929183581418</v>
      </c>
      <c r="G18" s="327">
        <f>GETPIVOTDATA("BECEXT",$A$15,"sost","Estatal","entidad","Aguascalientes","Año",2022)-GETPIVOTDATA("BECEXT",$A$15,"sost","Estatal","entidad","Aguascalientes","Año",2021)</f>
        <v>2.4063789698096407</v>
      </c>
      <c r="H18" s="327">
        <f>GETPIVOTDATA("BECEXT",$A$15,"sost","Estatal","entidad","Aguascalientes","Año",2022)-GETPIVOTDATA("BECEXT",$A$15,"sost","Estatal","entidad","Aguascalientes","Año",2018)</f>
        <v>-2.2704971477258491</v>
      </c>
      <c r="I18"/>
      <c r="J18" s="2"/>
      <c r="K18" s="2"/>
      <c r="L18" s="2"/>
    </row>
    <row r="19" spans="1:12" ht="15">
      <c r="A19" s="51" t="s">
        <v>3</v>
      </c>
      <c r="B19" s="75">
        <v>0.49633656346017485</v>
      </c>
      <c r="C19" s="75">
        <v>1.0745313214449017</v>
      </c>
      <c r="D19" s="75">
        <v>0.74237327456211577</v>
      </c>
      <c r="E19" s="75">
        <v>2.2508765976699467</v>
      </c>
      <c r="F19" s="75">
        <v>0.6394970734879688</v>
      </c>
      <c r="G19" s="326">
        <f>GETPIVOTDATA("BECEXT",$A$15,"sost","Estatal","entidad","Baja California","Año",2022)-GETPIVOTDATA("BECEXT",$A$15,"sost","Estatal","entidad","Baja California","Año",2021)</f>
        <v>-1.6113795241819779</v>
      </c>
      <c r="H19" s="326">
        <f>GETPIVOTDATA("BECEXT",$A$15,"sost","Estatal","entidad","Baja California","Año",2022)-GETPIVOTDATA("BECEXT",$A$15,"sost","Estatal","entidad","Baja California","Año",2018)</f>
        <v>0.14316051002779395</v>
      </c>
      <c r="I19"/>
      <c r="J19" s="2"/>
      <c r="K19" s="2"/>
      <c r="L19" s="2"/>
    </row>
    <row r="20" spans="1:12" ht="15">
      <c r="A20" s="51" t="s">
        <v>4</v>
      </c>
      <c r="B20" s="75">
        <v>5.8927519151443723E-2</v>
      </c>
      <c r="C20" s="75">
        <v>7.3472041612483743</v>
      </c>
      <c r="D20" s="75">
        <v>0</v>
      </c>
      <c r="E20" s="75">
        <v>0</v>
      </c>
      <c r="F20" s="75">
        <v>1.4916467780429594</v>
      </c>
      <c r="G20" s="327">
        <f>GETPIVOTDATA("BECEXT",$A$15,"sost","Estatal","entidad","Baja California Sur","Año",2022)-GETPIVOTDATA("BECEXT",$A$15,"sost","Estatal","entidad","Baja California Sur","Año",2021)</f>
        <v>1.4916467780429594</v>
      </c>
      <c r="H20" s="327">
        <f>GETPIVOTDATA("BECEXT",$A$15,"sost","Estatal","entidad","Baja California Sur","Año",2022)-GETPIVOTDATA("BECEXT",$A$15,"sost","Estatal","entidad","Baja California Sur","Año",2018)</f>
        <v>1.4327192588915156</v>
      </c>
      <c r="I20"/>
      <c r="J20" s="2"/>
      <c r="K20" s="2"/>
      <c r="L20" s="2"/>
    </row>
    <row r="21" spans="1:12" ht="15">
      <c r="A21" s="51" t="s">
        <v>5</v>
      </c>
      <c r="B21" s="75">
        <v>1.4767932489451476</v>
      </c>
      <c r="C21" s="75">
        <v>10.75268817204301</v>
      </c>
      <c r="D21" s="75">
        <v>1.0209290454313424</v>
      </c>
      <c r="E21" s="75">
        <v>0</v>
      </c>
      <c r="F21" s="75">
        <v>2.7686532144533085</v>
      </c>
      <c r="G21" s="326">
        <f>GETPIVOTDATA("BECEXT",$A$15,"sost","Estatal","entidad","Campeche","Año",2022)-GETPIVOTDATA("BECEXT",$A$15,"sost","Estatal","entidad","Campeche","Año",2021)</f>
        <v>2.7686532144533085</v>
      </c>
      <c r="H21" s="326">
        <f>GETPIVOTDATA("BECEXT",$A$15,"sost","Estatal","entidad","Campeche","Año",2022)-GETPIVOTDATA("BECEXT",$A$15,"sost","Estatal","entidad","Campeche","Año",2018)</f>
        <v>1.2918599655081608</v>
      </c>
      <c r="I21"/>
      <c r="J21" s="2"/>
      <c r="K21" s="2"/>
      <c r="L21" s="2"/>
    </row>
    <row r="22" spans="1:12" ht="15">
      <c r="A22" s="51" t="s">
        <v>6</v>
      </c>
      <c r="B22" s="75">
        <v>0.84141471762692532</v>
      </c>
      <c r="C22" s="75">
        <v>7.5494488902310142E-2</v>
      </c>
      <c r="D22" s="75">
        <v>0</v>
      </c>
      <c r="E22" s="75">
        <v>0.74126367807977411</v>
      </c>
      <c r="F22" s="75">
        <v>4.6226742170345544E-2</v>
      </c>
      <c r="G22" s="327">
        <f>GETPIVOTDATA("BECEXT",$A$15,"sost","Estatal","entidad","Chiapas","Año",2022)-GETPIVOTDATA("BECEXT",$A$15,"sost","Estatal","entidad","Chiapas","Año",2021)</f>
        <v>-0.69503693590942861</v>
      </c>
      <c r="H22" s="327">
        <f>GETPIVOTDATA("BECEXT",$A$15,"sost","Estatal","entidad","Chiapas","Año",2022)-GETPIVOTDATA("BECEXT",$A$15,"sost","Estatal","entidad","Chiapas","Año",2018)</f>
        <v>-0.79518797545657982</v>
      </c>
      <c r="I22"/>
      <c r="J22" s="2"/>
      <c r="K22" s="2"/>
      <c r="L22" s="2"/>
    </row>
    <row r="23" spans="1:12" ht="15">
      <c r="A23" s="51" t="s">
        <v>7</v>
      </c>
      <c r="B23" s="75">
        <v>5.0507406975387843</v>
      </c>
      <c r="C23" s="75">
        <v>3.2381812027530184</v>
      </c>
      <c r="D23" s="75">
        <v>0.76495132127955501</v>
      </c>
      <c r="E23" s="75">
        <v>2.1113243761996161</v>
      </c>
      <c r="F23" s="75">
        <v>6.2833128331283312</v>
      </c>
      <c r="G23" s="326">
        <f>GETPIVOTDATA("BECEXT",$A$15,"sost","Estatal","entidad","Chihuahua","Año",2022)-GETPIVOTDATA("BECEXT",$A$15,"sost","Estatal","entidad","Chihuahua","Año",2021)</f>
        <v>4.1719884569287151</v>
      </c>
      <c r="H23" s="326">
        <f>GETPIVOTDATA("BECEXT",$A$15,"sost","Estatal","entidad","Chihuahua","Año",2022)-GETPIVOTDATA("BECEXT",$A$15,"sost","Estatal","entidad","Chihuahua","Año",2018)</f>
        <v>1.2325721355895469</v>
      </c>
      <c r="I23"/>
      <c r="J23" s="2"/>
      <c r="K23" s="2"/>
      <c r="L23" s="2"/>
    </row>
    <row r="24" spans="1:12" ht="15">
      <c r="A24" s="51" t="s">
        <v>31</v>
      </c>
      <c r="B24" s="75">
        <v>0.32698595883823817</v>
      </c>
      <c r="C24" s="75">
        <v>0.93027716505226821</v>
      </c>
      <c r="D24" s="75">
        <v>0.15433587344458377</v>
      </c>
      <c r="E24" s="75">
        <v>0.41489676973229278</v>
      </c>
      <c r="F24" s="75">
        <v>0.64178515007898895</v>
      </c>
      <c r="G24" s="327">
        <f>GETPIVOTDATA("BECEXT",$A$15,"sost","Estatal","entidad","Coahuila de Zaragoza","Año",2022)-GETPIVOTDATA("BECEXT",$A$15,"sost","Estatal","entidad","Coahuila de Zaragoza","Año",2021)</f>
        <v>0.22688838034669617</v>
      </c>
      <c r="H24" s="327">
        <f>GETPIVOTDATA("BECEXT",$A$15,"sost","Estatal","entidad","Coahuila de Zaragoza","Año",2022)-GETPIVOTDATA("BECEXT",$A$15,"sost","Estatal","entidad","Coahuila de Zaragoza","Año",2018)</f>
        <v>0.31479919124075079</v>
      </c>
      <c r="I24"/>
      <c r="J24" s="2"/>
      <c r="K24" s="2"/>
      <c r="L24" s="2"/>
    </row>
    <row r="25" spans="1:12" ht="15">
      <c r="A25" s="51" t="s">
        <v>8</v>
      </c>
      <c r="B25" s="75">
        <v>1.7979904812268643</v>
      </c>
      <c r="C25" s="75">
        <v>2.6370217166494312</v>
      </c>
      <c r="D25" s="75">
        <v>0</v>
      </c>
      <c r="E25" s="75">
        <v>0.39772727272727271</v>
      </c>
      <c r="F25" s="75">
        <v>6.3333333333333339</v>
      </c>
      <c r="G25" s="326">
        <f>GETPIVOTDATA("BECEXT",$A$15,"sost","Estatal","entidad","Colima","Año",2022)-GETPIVOTDATA("BECEXT",$A$15,"sost","Estatal","entidad","Colima","Año",2021)</f>
        <v>5.9356060606060614</v>
      </c>
      <c r="H25" s="326">
        <f>GETPIVOTDATA("BECEXT",$A$15,"sost","Estatal","entidad","Colima","Año",2022)-GETPIVOTDATA("BECEXT",$A$15,"sost","Estatal","entidad","Colima","Año",2018)</f>
        <v>4.5353428521064698</v>
      </c>
      <c r="I25"/>
      <c r="J25" s="2"/>
      <c r="K25" s="2"/>
      <c r="L25" s="2"/>
    </row>
    <row r="26" spans="1:12" ht="15">
      <c r="A26" s="51" t="s">
        <v>9</v>
      </c>
      <c r="B26" s="75">
        <v>2.9533678756476682</v>
      </c>
      <c r="C26" s="75">
        <v>5.031779661016949</v>
      </c>
      <c r="D26" s="75">
        <v>0</v>
      </c>
      <c r="E26" s="75">
        <v>2.1157436216552581</v>
      </c>
      <c r="F26" s="75">
        <v>3.0864197530864197</v>
      </c>
      <c r="G26" s="327">
        <f>GETPIVOTDATA("BECEXT",$A$15,"sost","Estatal","entidad","Durango","Año",2022)-GETPIVOTDATA("BECEXT",$A$15,"sost","Estatal","entidad","Durango","Año",2021)</f>
        <v>0.9706761314311616</v>
      </c>
      <c r="H26" s="327">
        <f>GETPIVOTDATA("BECEXT",$A$15,"sost","Estatal","entidad","Durango","Año",2022)-GETPIVOTDATA("BECEXT",$A$15,"sost","Estatal","entidad","Durango","Año",2018)</f>
        <v>0.13305187743875146</v>
      </c>
      <c r="I26"/>
      <c r="J26" s="2"/>
      <c r="K26" s="2"/>
      <c r="L26" s="2"/>
    </row>
    <row r="27" spans="1:12" ht="15">
      <c r="A27" s="51" t="s">
        <v>10</v>
      </c>
      <c r="B27" s="75">
        <v>2.8457974851091992</v>
      </c>
      <c r="C27" s="75">
        <v>3.1885015694696843</v>
      </c>
      <c r="D27" s="75">
        <v>0.27483538505582594</v>
      </c>
      <c r="E27" s="75">
        <v>0.64998177621188191</v>
      </c>
      <c r="F27" s="75">
        <v>2.0452969724982664</v>
      </c>
      <c r="G27" s="326">
        <f>GETPIVOTDATA("BECEXT",$A$15,"sost","Estatal","entidad","Guanajuato","Año",2022)-GETPIVOTDATA("BECEXT",$A$15,"sost","Estatal","entidad","Guanajuato","Año",2021)</f>
        <v>1.3953151962863846</v>
      </c>
      <c r="H27" s="326">
        <f>GETPIVOTDATA("BECEXT",$A$15,"sost","Estatal","entidad","Guanajuato","Año",2022)-GETPIVOTDATA("BECEXT",$A$15,"sost","Estatal","entidad","Guanajuato","Año",2018)</f>
        <v>-0.8005005126109328</v>
      </c>
      <c r="I27"/>
      <c r="J27" s="2"/>
      <c r="K27" s="2"/>
      <c r="L27" s="2"/>
    </row>
    <row r="28" spans="1:12" ht="15">
      <c r="A28" s="51" t="s">
        <v>11</v>
      </c>
      <c r="B28" s="75">
        <v>16.97098141506358</v>
      </c>
      <c r="C28" s="75">
        <v>21.671061305207648</v>
      </c>
      <c r="D28" s="75">
        <v>1.3036937990974429</v>
      </c>
      <c r="E28" s="75">
        <v>11.069095909247164</v>
      </c>
      <c r="F28" s="75">
        <v>10.662439512764893</v>
      </c>
      <c r="G28" s="327">
        <f>GETPIVOTDATA("BECEXT",$A$15,"sost","Estatal","entidad","Guerrero","Año",2022)-GETPIVOTDATA("BECEXT",$A$15,"sost","Estatal","entidad","Guerrero","Año",2021)</f>
        <v>-0.40665639648227092</v>
      </c>
      <c r="H28" s="327">
        <f>GETPIVOTDATA("BECEXT",$A$15,"sost","Estatal","entidad","Guerrero","Año",2022)-GETPIVOTDATA("BECEXT",$A$15,"sost","Estatal","entidad","Guerrero","Año",2018)</f>
        <v>-6.3085419022986873</v>
      </c>
      <c r="I28"/>
      <c r="J28" s="2"/>
      <c r="K28" s="2"/>
      <c r="L28" s="2"/>
    </row>
    <row r="29" spans="1:12" ht="15">
      <c r="A29" s="51" t="s">
        <v>12</v>
      </c>
      <c r="B29" s="75">
        <v>14.236999147485079</v>
      </c>
      <c r="C29" s="75">
        <v>13.080054274084125</v>
      </c>
      <c r="D29" s="75">
        <v>0</v>
      </c>
      <c r="E29" s="75">
        <v>0</v>
      </c>
      <c r="F29" s="75">
        <v>7.5160875160875165</v>
      </c>
      <c r="G29" s="326">
        <f>GETPIVOTDATA("BECEXT",$A$15,"sost","Estatal","entidad","Hidalgo","Año",2022)-GETPIVOTDATA("BECEXT",$A$15,"sost","Estatal","entidad","Hidalgo","Año",2021)</f>
        <v>7.5160875160875165</v>
      </c>
      <c r="H29" s="326">
        <f>GETPIVOTDATA("BECEXT",$A$15,"sost","Estatal","entidad","Hidalgo","Año",2022)-GETPIVOTDATA("BECEXT",$A$15,"sost","Estatal","entidad","Hidalgo","Año",2018)</f>
        <v>-6.7209116313975628</v>
      </c>
      <c r="I29"/>
      <c r="J29" s="2"/>
      <c r="K29" s="2"/>
      <c r="L29" s="2"/>
    </row>
    <row r="30" spans="1:12" ht="15">
      <c r="A30" s="51" t="s">
        <v>13</v>
      </c>
      <c r="B30" s="75">
        <v>5.5296004462729238</v>
      </c>
      <c r="C30" s="75">
        <v>3.42177758445701</v>
      </c>
      <c r="D30" s="75">
        <v>0.72745976927033584</v>
      </c>
      <c r="E30" s="75">
        <v>4.0436408026245516</v>
      </c>
      <c r="F30" s="75">
        <v>3.5621464607858124</v>
      </c>
      <c r="G30" s="327">
        <f>GETPIVOTDATA("BECEXT",$A$15,"sost","Estatal","entidad","Jalisco","Año",2022)-GETPIVOTDATA("BECEXT",$A$15,"sost","Estatal","entidad","Jalisco","Año",2021)</f>
        <v>-0.48149434183873918</v>
      </c>
      <c r="H30" s="327">
        <f>GETPIVOTDATA("BECEXT",$A$15,"sost","Estatal","entidad","Jalisco","Año",2022)-GETPIVOTDATA("BECEXT",$A$15,"sost","Estatal","entidad","Jalisco","Año",2018)</f>
        <v>-1.9674539854871114</v>
      </c>
      <c r="I30"/>
      <c r="J30" s="2"/>
      <c r="K30" s="2"/>
      <c r="L30" s="2"/>
    </row>
    <row r="31" spans="1:12" ht="15">
      <c r="A31" s="51" t="s">
        <v>14</v>
      </c>
      <c r="B31" s="75">
        <v>2.5372449192505111</v>
      </c>
      <c r="C31" s="75">
        <v>2.1479814917009805</v>
      </c>
      <c r="D31" s="75">
        <v>0.14039566049776644</v>
      </c>
      <c r="E31" s="75">
        <v>2.3673197443211396</v>
      </c>
      <c r="F31" s="75">
        <v>1.9072868646499022</v>
      </c>
      <c r="G31" s="326">
        <f>GETPIVOTDATA("BECEXT",$A$15,"sost","Estatal","entidad","México","Año",2022)-GETPIVOTDATA("BECEXT",$A$15,"sost","Estatal","entidad","México","Año",2021)</f>
        <v>-0.4600328796712374</v>
      </c>
      <c r="H31" s="326">
        <f>GETPIVOTDATA("BECEXT",$A$15,"sost","Estatal","entidad","México","Año",2022)-GETPIVOTDATA("BECEXT",$A$15,"sost","Estatal","entidad","México","Año",2018)</f>
        <v>-0.62995805460060894</v>
      </c>
      <c r="I31"/>
      <c r="J31" s="2"/>
      <c r="K31" s="2"/>
      <c r="L31" s="2"/>
    </row>
    <row r="32" spans="1:12" ht="15">
      <c r="A32" s="51" t="s">
        <v>30</v>
      </c>
      <c r="B32" s="75">
        <v>3.8603770181293404</v>
      </c>
      <c r="C32" s="75">
        <v>3.6876746911910554</v>
      </c>
      <c r="D32" s="75">
        <v>0.15367926233954077</v>
      </c>
      <c r="E32" s="75">
        <v>2.6932195353247987</v>
      </c>
      <c r="F32" s="75">
        <v>5.7334845972597952</v>
      </c>
      <c r="G32" s="327">
        <f>GETPIVOTDATA("BECEXT",$A$15,"sost","Estatal","entidad","Michoacán de Ocampo","Año",2022)-GETPIVOTDATA("BECEXT",$A$15,"sost","Estatal","entidad","Michoacán de Ocampo","Año",2021)</f>
        <v>3.0402650619349965</v>
      </c>
      <c r="H32" s="327">
        <f>GETPIVOTDATA("BECEXT",$A$15,"sost","Estatal","entidad","Michoacán de Ocampo","Año",2022)-GETPIVOTDATA("BECEXT",$A$15,"sost","Estatal","entidad","Michoacán de Ocampo","Año",2018)</f>
        <v>1.8731075791304548</v>
      </c>
      <c r="I32"/>
      <c r="J32" s="2"/>
      <c r="K32" s="2"/>
      <c r="L32" s="2"/>
    </row>
    <row r="33" spans="1:12" ht="15">
      <c r="A33" s="51" t="s">
        <v>15</v>
      </c>
      <c r="B33" s="75">
        <v>13.189655172413794</v>
      </c>
      <c r="C33" s="75">
        <v>7.3639982308712968</v>
      </c>
      <c r="D33" s="75">
        <v>0.92165898617511521</v>
      </c>
      <c r="E33" s="75">
        <v>1.4963759644610708</v>
      </c>
      <c r="F33" s="75">
        <v>0.93945720250521914</v>
      </c>
      <c r="G33" s="326">
        <f>GETPIVOTDATA("BECEXT",$A$15,"sost","Estatal","entidad","Morelos","Año",2022)-GETPIVOTDATA("BECEXT",$A$15,"sost","Estatal","entidad","Morelos","Año",2021)</f>
        <v>-0.55691876195585166</v>
      </c>
      <c r="H33" s="326">
        <f>GETPIVOTDATA("BECEXT",$A$15,"sost","Estatal","entidad","Morelos","Año",2022)-GETPIVOTDATA("BECEXT",$A$15,"sost","Estatal","entidad","Morelos","Año",2018)</f>
        <v>-12.250197969908575</v>
      </c>
      <c r="I33"/>
      <c r="J33" s="2"/>
      <c r="K33" s="2"/>
      <c r="L33" s="2"/>
    </row>
    <row r="34" spans="1:12" ht="15">
      <c r="A34" s="51" t="s">
        <v>16</v>
      </c>
      <c r="B34" s="75">
        <v>3.9727988546886186</v>
      </c>
      <c r="C34" s="75">
        <v>5.7600545330606678</v>
      </c>
      <c r="D34" s="75">
        <v>0.76019350380096751</v>
      </c>
      <c r="E34" s="75">
        <v>0.37300779925398442</v>
      </c>
      <c r="F34" s="75">
        <v>1.1184399197017494</v>
      </c>
      <c r="G34" s="327">
        <f>GETPIVOTDATA("BECEXT",$A$15,"sost","Estatal","entidad","Nayarit","Año",2022)-GETPIVOTDATA("BECEXT",$A$15,"sost","Estatal","entidad","Nayarit","Año",2021)</f>
        <v>0.74543212044776497</v>
      </c>
      <c r="H34" s="327">
        <f>GETPIVOTDATA("BECEXT",$A$15,"sost","Estatal","entidad","Nayarit","Año",2022)-GETPIVOTDATA("BECEXT",$A$15,"sost","Estatal","entidad","Nayarit","Año",2018)</f>
        <v>-2.8543589349868692</v>
      </c>
      <c r="I34"/>
      <c r="J34" s="2"/>
      <c r="K34" s="2"/>
      <c r="L34" s="2"/>
    </row>
    <row r="35" spans="1:12" ht="15">
      <c r="A35" s="51" t="s">
        <v>17</v>
      </c>
      <c r="B35" s="75">
        <v>12.491794054206133</v>
      </c>
      <c r="C35" s="75">
        <v>10.562937690788292</v>
      </c>
      <c r="D35" s="75">
        <v>0.83321950553203117</v>
      </c>
      <c r="E35" s="75">
        <v>5.4596100278551534</v>
      </c>
      <c r="F35" s="75">
        <v>9.5789862431908421</v>
      </c>
      <c r="G35" s="326">
        <f>GETPIVOTDATA("BECEXT",$A$15,"sost","Estatal","entidad","Nuevo León","Año",2022)-GETPIVOTDATA("BECEXT",$A$15,"sost","Estatal","entidad","Nuevo León","Año",2021)</f>
        <v>4.1193762153356888</v>
      </c>
      <c r="H35" s="326">
        <f>GETPIVOTDATA("BECEXT",$A$15,"sost","Estatal","entidad","Nuevo León","Año",2022)-GETPIVOTDATA("BECEXT",$A$15,"sost","Estatal","entidad","Nuevo León","Año",2018)</f>
        <v>-2.9128078110152913</v>
      </c>
      <c r="I35"/>
      <c r="J35" s="2"/>
      <c r="K35" s="2"/>
      <c r="L35" s="2"/>
    </row>
    <row r="36" spans="1:12" ht="15">
      <c r="A36" s="51" t="s">
        <v>18</v>
      </c>
      <c r="B36" s="75">
        <v>2.0656634746922022</v>
      </c>
      <c r="C36" s="75">
        <v>2.6933222268499235</v>
      </c>
      <c r="D36" s="75">
        <v>0.76408787010506207</v>
      </c>
      <c r="E36" s="75">
        <v>2.6654411764705883</v>
      </c>
      <c r="F36" s="75">
        <v>1.2688031393067365</v>
      </c>
      <c r="G36" s="327">
        <f>GETPIVOTDATA("BECEXT",$A$15,"sost","Estatal","entidad","Puebla","Año",2022)-GETPIVOTDATA("BECEXT",$A$15,"sost","Estatal","entidad","Puebla","Año",2021)</f>
        <v>-1.3966380371638518</v>
      </c>
      <c r="H36" s="327">
        <f>GETPIVOTDATA("BECEXT",$A$15,"sost","Estatal","entidad","Puebla","Año",2022)-GETPIVOTDATA("BECEXT",$A$15,"sost","Estatal","entidad","Puebla","Año",2018)</f>
        <v>-0.79686033538546575</v>
      </c>
      <c r="I36"/>
      <c r="J36" s="2"/>
      <c r="K36" s="2"/>
      <c r="L36" s="2"/>
    </row>
    <row r="37" spans="1:12" ht="15">
      <c r="A37" s="51" t="s">
        <v>29</v>
      </c>
      <c r="B37" s="75">
        <v>2.303484019579614</v>
      </c>
      <c r="C37" s="75">
        <v>3.4238488783943333</v>
      </c>
      <c r="D37" s="75">
        <v>0</v>
      </c>
      <c r="E37" s="75">
        <v>1.1555806087936866</v>
      </c>
      <c r="F37" s="75">
        <v>1.0906258114775382</v>
      </c>
      <c r="G37" s="326">
        <f>GETPIVOTDATA("BECEXT",$A$15,"sost","Estatal","entidad","Querétaro de Arteaga","Año",2022)-GETPIVOTDATA("BECEXT",$A$15,"sost","Estatal","entidad","Querétaro de Arteaga","Año",2021)</f>
        <v>-6.4954797316148394E-2</v>
      </c>
      <c r="H37" s="326">
        <f>GETPIVOTDATA("BECEXT",$A$15,"sost","Estatal","entidad","Querétaro de Arteaga","Año",2022)-GETPIVOTDATA("BECEXT",$A$15,"sost","Estatal","entidad","Querétaro de Arteaga","Año",2018)</f>
        <v>-1.2128582081020758</v>
      </c>
      <c r="I37"/>
      <c r="J37" s="2"/>
      <c r="K37" s="2"/>
      <c r="L37" s="2"/>
    </row>
    <row r="38" spans="1:12" ht="15">
      <c r="A38" s="51" t="s">
        <v>19</v>
      </c>
      <c r="B38" s="75">
        <v>0.1280558789289872</v>
      </c>
      <c r="C38" s="75">
        <v>0</v>
      </c>
      <c r="D38" s="75">
        <v>0</v>
      </c>
      <c r="E38" s="75">
        <v>0.67135549872122768</v>
      </c>
      <c r="F38" s="75">
        <v>1.4098690835850958</v>
      </c>
      <c r="G38" s="327">
        <f>GETPIVOTDATA("BECEXT",$A$15,"sost","Estatal","entidad","Quintana Roo","Año",2022)-GETPIVOTDATA("BECEXT",$A$15,"sost","Estatal","entidad","Quintana Roo","Año",2021)</f>
        <v>0.73851358486386809</v>
      </c>
      <c r="H38" s="327">
        <f>GETPIVOTDATA("BECEXT",$A$15,"sost","Estatal","entidad","Quintana Roo","Año",2022)-GETPIVOTDATA("BECEXT",$A$15,"sost","Estatal","entidad","Quintana Roo","Año",2018)</f>
        <v>1.2818132046561086</v>
      </c>
      <c r="I38"/>
      <c r="J38" s="2"/>
      <c r="K38" s="2"/>
      <c r="L38" s="2"/>
    </row>
    <row r="39" spans="1:12" ht="15">
      <c r="A39" s="51" t="s">
        <v>20</v>
      </c>
      <c r="B39" s="75">
        <v>1.654306902452938</v>
      </c>
      <c r="C39" s="75">
        <v>4.3758546591131076</v>
      </c>
      <c r="D39" s="75">
        <v>3.4562211981566824</v>
      </c>
      <c r="E39" s="75">
        <v>4.0325950689511076</v>
      </c>
      <c r="F39" s="75">
        <v>8.8240936121235372</v>
      </c>
      <c r="G39" s="326">
        <f>GETPIVOTDATA("BECEXT",$A$15,"sost","Estatal","entidad","San Luis Potosí","Año",2022)-GETPIVOTDATA("BECEXT",$A$15,"sost","Estatal","entidad","San Luis Potosí","Año",2021)</f>
        <v>4.7914985431724295</v>
      </c>
      <c r="H39" s="326">
        <f>GETPIVOTDATA("BECEXT",$A$15,"sost","Estatal","entidad","San Luis Potosí","Año",2022)-GETPIVOTDATA("BECEXT",$A$15,"sost","Estatal","entidad","San Luis Potosí","Año",2018)</f>
        <v>7.1697867096705989</v>
      </c>
      <c r="I39"/>
      <c r="J39" s="2"/>
      <c r="K39" s="2"/>
      <c r="L39" s="2"/>
    </row>
    <row r="40" spans="1:12" ht="15">
      <c r="A40" s="51" t="s">
        <v>21</v>
      </c>
      <c r="B40" s="75">
        <v>1.4411901441190145</v>
      </c>
      <c r="C40" s="75">
        <v>2.6370575988896601</v>
      </c>
      <c r="D40" s="75">
        <v>1.9550342130987293</v>
      </c>
      <c r="E40" s="75">
        <v>3.1052764453420854</v>
      </c>
      <c r="F40" s="75">
        <v>1.5078901227352426</v>
      </c>
      <c r="G40" s="327">
        <f>GETPIVOTDATA("BECEXT",$A$15,"sost","Estatal","entidad","Sinaloa","Año",2022)-GETPIVOTDATA("BECEXT",$A$15,"sost","Estatal","entidad","Sinaloa","Año",2021)</f>
        <v>-1.5973863226068428</v>
      </c>
      <c r="H40" s="327">
        <f>GETPIVOTDATA("BECEXT",$A$15,"sost","Estatal","entidad","Sinaloa","Año",2022)-GETPIVOTDATA("BECEXT",$A$15,"sost","Estatal","entidad","Sinaloa","Año",2018)</f>
        <v>6.6699978616228117E-2</v>
      </c>
      <c r="I40"/>
      <c r="J40" s="2"/>
      <c r="K40" s="2"/>
      <c r="L40" s="2"/>
    </row>
    <row r="41" spans="1:12" ht="15">
      <c r="A41" s="51" t="s">
        <v>22</v>
      </c>
      <c r="B41" s="75">
        <v>3.3319843518143801</v>
      </c>
      <c r="C41" s="75">
        <v>4.0072737068965516</v>
      </c>
      <c r="D41" s="75">
        <v>0.5241022322872857</v>
      </c>
      <c r="E41" s="75">
        <v>0.64256506782631273</v>
      </c>
      <c r="F41" s="75">
        <v>6.2057398434588151</v>
      </c>
      <c r="G41" s="326">
        <f>GETPIVOTDATA("BECEXT",$A$15,"sost","Estatal","entidad","Sonora","Año",2022)-GETPIVOTDATA("BECEXT",$A$15,"sost","Estatal","entidad","Sonora","Año",2021)</f>
        <v>5.5631747756325023</v>
      </c>
      <c r="H41" s="326">
        <f>GETPIVOTDATA("BECEXT",$A$15,"sost","Estatal","entidad","Sonora","Año",2022)-GETPIVOTDATA("BECEXT",$A$15,"sost","Estatal","entidad","Sonora","Año",2018)</f>
        <v>2.873755491644435</v>
      </c>
      <c r="I41"/>
      <c r="J41" s="2"/>
      <c r="K41" s="2"/>
      <c r="L41" s="2"/>
    </row>
    <row r="42" spans="1:12" ht="15">
      <c r="A42" s="51" t="s">
        <v>23</v>
      </c>
      <c r="B42" s="75">
        <v>0.48145506419400852</v>
      </c>
      <c r="C42" s="75">
        <v>0.60229968972440218</v>
      </c>
      <c r="D42" s="75">
        <v>7.6161462300076158E-2</v>
      </c>
      <c r="E42" s="75">
        <v>0.34984349106978457</v>
      </c>
      <c r="F42" s="75">
        <v>0.65046217048955846</v>
      </c>
      <c r="G42" s="327">
        <f>GETPIVOTDATA("BECEXT",$A$15,"sost","Estatal","entidad","Tabasco","Año",2022)-GETPIVOTDATA("BECEXT",$A$15,"sost","Estatal","entidad","Tabasco","Año",2021)</f>
        <v>0.30061867941977388</v>
      </c>
      <c r="H42" s="327">
        <f>GETPIVOTDATA("BECEXT",$A$15,"sost","Estatal","entidad","Tabasco","Año",2022)-GETPIVOTDATA("BECEXT",$A$15,"sost","Estatal","entidad","Tabasco","Año",2018)</f>
        <v>0.16900710629554994</v>
      </c>
      <c r="I42"/>
      <c r="J42" s="2"/>
      <c r="K42" s="2"/>
      <c r="L42" s="2"/>
    </row>
    <row r="43" spans="1:12" ht="15">
      <c r="A43" s="51" t="s">
        <v>24</v>
      </c>
      <c r="B43" s="75">
        <v>2.0039845306457282</v>
      </c>
      <c r="C43" s="75">
        <v>2.3122856053868635</v>
      </c>
      <c r="D43" s="75">
        <v>0</v>
      </c>
      <c r="E43" s="75">
        <v>1.3880855986119145</v>
      </c>
      <c r="F43" s="75">
        <v>2.2459222082810539</v>
      </c>
      <c r="G43" s="326">
        <f>GETPIVOTDATA("BECEXT",$A$15,"sost","Estatal","entidad","Tamaulipas","Año",2022)-GETPIVOTDATA("BECEXT",$A$15,"sost","Estatal","entidad","Tamaulipas","Año",2021)</f>
        <v>0.85783660966913944</v>
      </c>
      <c r="H43" s="326">
        <f>GETPIVOTDATA("BECEXT",$A$15,"sost","Estatal","entidad","Tamaulipas","Año",2022)-GETPIVOTDATA("BECEXT",$A$15,"sost","Estatal","entidad","Tamaulipas","Año",2018)</f>
        <v>0.2419376776353257</v>
      </c>
      <c r="I43"/>
      <c r="J43" s="2"/>
      <c r="K43" s="2"/>
      <c r="L43" s="2"/>
    </row>
    <row r="44" spans="1:12" ht="15">
      <c r="A44" s="51" t="s">
        <v>25</v>
      </c>
      <c r="B44" s="75">
        <v>3.6819306930693068</v>
      </c>
      <c r="C44" s="75">
        <v>5.3228346456692917</v>
      </c>
      <c r="D44" s="75">
        <v>0</v>
      </c>
      <c r="E44" s="75">
        <v>4.0050858232676418</v>
      </c>
      <c r="F44" s="75">
        <v>0.54298642533936647</v>
      </c>
      <c r="G44" s="327">
        <f>GETPIVOTDATA("BECEXT",$A$15,"sost","Estatal","entidad","Tlaxcala","Año",2022)-GETPIVOTDATA("BECEXT",$A$15,"sost","Estatal","entidad","Tlaxcala","Año",2021)</f>
        <v>-3.4620993979282755</v>
      </c>
      <c r="H44" s="327">
        <f>GETPIVOTDATA("BECEXT",$A$15,"sost","Estatal","entidad","Tlaxcala","Año",2022)-GETPIVOTDATA("BECEXT",$A$15,"sost","Estatal","entidad","Tlaxcala","Año",2018)</f>
        <v>-3.1389442677299404</v>
      </c>
      <c r="I44"/>
      <c r="J44" s="2"/>
      <c r="K44" s="2"/>
      <c r="L44" s="2"/>
    </row>
    <row r="45" spans="1:12" ht="15">
      <c r="A45" s="51" t="s">
        <v>53</v>
      </c>
      <c r="B45" s="75">
        <v>1.4901783698351772</v>
      </c>
      <c r="C45" s="75">
        <v>2.1165175649138122</v>
      </c>
      <c r="D45" s="75">
        <v>0</v>
      </c>
      <c r="E45" s="75">
        <v>0.27048250588953843</v>
      </c>
      <c r="F45" s="75">
        <v>0.55946291560102301</v>
      </c>
      <c r="G45" s="326">
        <f>GETPIVOTDATA("BECEXT",$A$15,"sost","Estatal","entidad","Veracruz llave","Año",2022)-GETPIVOTDATA("BECEXT",$A$15,"sost","Estatal","entidad","Veracruz llave","Año",2021)</f>
        <v>0.28898040971148459</v>
      </c>
      <c r="H45" s="326">
        <f>GETPIVOTDATA("BECEXT",$A$15,"sost","Estatal","entidad","Veracruz llave","Año",2022)-GETPIVOTDATA("BECEXT",$A$15,"sost","Estatal","entidad","Veracruz llave","Año",2018)</f>
        <v>-0.93071545423415414</v>
      </c>
      <c r="I45"/>
      <c r="J45" s="2"/>
      <c r="K45" s="2"/>
      <c r="L45" s="2"/>
    </row>
    <row r="46" spans="1:12" ht="15">
      <c r="A46" s="51" t="s">
        <v>26</v>
      </c>
      <c r="B46" s="75">
        <v>9.9000565717518398</v>
      </c>
      <c r="C46" s="75">
        <v>9.4819346205314474</v>
      </c>
      <c r="D46" s="75">
        <v>0</v>
      </c>
      <c r="E46" s="75">
        <v>3.8759689922480618</v>
      </c>
      <c r="F46" s="75">
        <v>4.0557667934093784</v>
      </c>
      <c r="G46" s="327">
        <f>GETPIVOTDATA("BECEXT",$A$15,"sost","Estatal","entidad","Yucatán","Año",2022)-GETPIVOTDATA("BECEXT",$A$15,"sost","Estatal","entidad","Yucatán","Año",2021)</f>
        <v>0.17979780116131661</v>
      </c>
      <c r="H46" s="327">
        <f>GETPIVOTDATA("BECEXT",$A$15,"sost","Estatal","entidad","Yucatán","Año",2022)-GETPIVOTDATA("BECEXT",$A$15,"sost","Estatal","entidad","Yucatán","Año",2018)</f>
        <v>-5.8442897783424614</v>
      </c>
      <c r="I46"/>
      <c r="J46" s="2"/>
      <c r="K46" s="2"/>
      <c r="L46" s="2"/>
    </row>
    <row r="47" spans="1:12" ht="15">
      <c r="A47" s="51" t="s">
        <v>27</v>
      </c>
      <c r="B47" s="75">
        <v>14.174252275682706</v>
      </c>
      <c r="C47" s="75">
        <v>19.141689373297002</v>
      </c>
      <c r="D47" s="75">
        <v>6.7835365853658542</v>
      </c>
      <c r="E47" s="75">
        <v>9.0909090909090917</v>
      </c>
      <c r="F47" s="75">
        <v>12.525389302640487</v>
      </c>
      <c r="G47" s="326">
        <f>GETPIVOTDATA("BECEXT",$A$15,"sost","Estatal","entidad","Zacatecas","Año",2022)-GETPIVOTDATA("BECEXT",$A$15,"sost","Estatal","entidad","Zacatecas","Año",2021)</f>
        <v>3.4344802117313957</v>
      </c>
      <c r="H47" s="326">
        <f>GETPIVOTDATA("BECEXT",$A$15,"sost","Estatal","entidad","Zacatecas","Año",2022)-GETPIVOTDATA("BECEXT",$A$15,"sost","Estatal","entidad","Zacatecas","Año",2018)</f>
        <v>-1.6488629730422186</v>
      </c>
      <c r="I47"/>
      <c r="J47" s="2"/>
      <c r="K47" s="2"/>
      <c r="L47" s="2"/>
    </row>
    <row r="48" spans="1:12" ht="15">
      <c r="A48" s="49" t="s">
        <v>50</v>
      </c>
      <c r="B48" s="80">
        <v>2.0248229771660431</v>
      </c>
      <c r="C48" s="80">
        <v>1.4592582269913001</v>
      </c>
      <c r="D48" s="80">
        <v>3.8572062255308481E-3</v>
      </c>
      <c r="E48" s="80">
        <v>0.15291981267322949</v>
      </c>
      <c r="F48" s="80">
        <v>0.8085413135386833</v>
      </c>
      <c r="G48" s="328">
        <f>GETPIVOTDATA("BECEXT",$A$15,"sost","Federal","Año",2022)-GETPIVOTDATA("BECEXT",$A$15,"sost","Federal","Año",2021)</f>
        <v>0.65562150086545379</v>
      </c>
      <c r="H48" s="328">
        <f>GETPIVOTDATA("BECEXT",$A$15,"sost","Federal","Año",2022)-GETPIVOTDATA("BECEXT",$A$15,"sost","Federal","Año",2018)</f>
        <v>-1.2162816636273597</v>
      </c>
      <c r="I48"/>
      <c r="J48" s="2"/>
      <c r="K48" s="2"/>
      <c r="L48" s="2"/>
    </row>
    <row r="49" spans="1:12" ht="15">
      <c r="A49" s="51" t="s">
        <v>32</v>
      </c>
      <c r="B49" s="75">
        <v>2.2599125925590453</v>
      </c>
      <c r="C49" s="75">
        <v>1.6070656256402087</v>
      </c>
      <c r="D49" s="75">
        <v>4.3958942347847108E-3</v>
      </c>
      <c r="E49" s="75">
        <v>0.16350063464062131</v>
      </c>
      <c r="F49" s="75">
        <v>0.91341536949773317</v>
      </c>
      <c r="G49" s="326">
        <f>GETPIVOTDATA("BECEXT",$A$15,"sost","Federal","entidad","Ciudad de México","Año",2022)-GETPIVOTDATA("BECEXT",$A$15,"sost","Federal","entidad","Ciudad de México","Año",2021)</f>
        <v>0.7499147348571118</v>
      </c>
      <c r="H49" s="326">
        <f>GETPIVOTDATA("BECEXT",$A$15,"sost","Federal","entidad","Ciudad de México","Año",2022)-GETPIVOTDATA("BECEXT",$A$15,"sost","Federal","entidad","Ciudad de México","Año",2018)</f>
        <v>-1.3464972230613121</v>
      </c>
      <c r="I49"/>
      <c r="J49" s="2"/>
      <c r="K49" s="2"/>
      <c r="L49" s="2"/>
    </row>
    <row r="50" spans="1:12" ht="15">
      <c r="A50" s="51" t="s">
        <v>28</v>
      </c>
      <c r="B50" s="75">
        <v>0.32706459525756337</v>
      </c>
      <c r="C50" s="75">
        <v>0.4285714285714286</v>
      </c>
      <c r="D50" s="75">
        <v>0</v>
      </c>
      <c r="E50" s="75">
        <v>6.858710562414265E-2</v>
      </c>
      <c r="F50" s="75">
        <v>9.1603053435114504E-2</v>
      </c>
      <c r="G50" s="327">
        <f>GETPIVOTDATA("BECEXT",$A$15,"sost","Federal","entidad","Oaxaca","Año",2022)-GETPIVOTDATA("BECEXT",$A$15,"sost","Federal","entidad","Oaxaca","Año",2021)</f>
        <v>2.3015947810971854E-2</v>
      </c>
      <c r="H50" s="327">
        <f>GETPIVOTDATA("BECEXT",$A$15,"sost","Federal","entidad","Oaxaca","Año",2022)-GETPIVOTDATA("BECEXT",$A$15,"sost","Federal","entidad","Oaxaca","Año",2018)</f>
        <v>-0.23546154182244888</v>
      </c>
      <c r="I50"/>
      <c r="J50" s="2"/>
      <c r="K50" s="2"/>
      <c r="L50" s="2"/>
    </row>
    <row r="51" spans="1:12" ht="15">
      <c r="A51" s="51" t="s">
        <v>39</v>
      </c>
      <c r="B51" s="75">
        <v>0</v>
      </c>
      <c r="C51" s="75">
        <v>0</v>
      </c>
      <c r="D51" s="75">
        <v>0</v>
      </c>
      <c r="E51" s="75">
        <v>0</v>
      </c>
      <c r="F51" s="75">
        <v>0</v>
      </c>
      <c r="G51" s="336">
        <f>GETPIVOTDATA("BECEXT",$A$15,"sost","Federal","entidad","Oficinas Nacionales","Año",2022)-GETPIVOTDATA("BECEXT",$A$15,"sost","Federal","entidad","Oficinas Nacionales","Año",2021)</f>
        <v>0</v>
      </c>
      <c r="H51" s="336">
        <f>GETPIVOTDATA("BECEXT",$A$15,"sost","Federal","entidad","Oficinas Nacionales","Año",2022)-GETPIVOTDATA("BECEXT",$A$15,"sost","Federal","entidad","Oficinas Nacionales","Año",2018)</f>
        <v>0</v>
      </c>
      <c r="I51"/>
    </row>
    <row r="52" spans="1:12" ht="15" hidden="1">
      <c r="A52" s="49" t="s">
        <v>37</v>
      </c>
      <c r="B52" s="75">
        <v>3.9060089196677703</v>
      </c>
      <c r="C52" s="75">
        <v>3.8387527810538766</v>
      </c>
      <c r="D52" s="75">
        <v>0.4162446137360723</v>
      </c>
      <c r="E52" s="75">
        <v>1.9934327143811932</v>
      </c>
      <c r="F52" s="75">
        <v>3.0219309584398837</v>
      </c>
      <c r="G52" s="338">
        <f>GETPIVOTDATA("BECEXT",$A$15,"Año",2022)-GETPIVOTDATA("BECEXT",$A$15,"Año",2021)</f>
        <v>1.0284982440586905</v>
      </c>
      <c r="H52" s="338">
        <f>GETPIVOTDATA("BECEXT",$A$15,"Año",2022)-GETPIVOTDATA("BECEXT",$A$15,"Año",2018)</f>
        <v>-0.88407796122788662</v>
      </c>
      <c r="I52"/>
    </row>
    <row r="53" spans="1:12" ht="15">
      <c r="A53"/>
      <c r="B53"/>
      <c r="C53"/>
      <c r="D53"/>
      <c r="E53"/>
      <c r="F53"/>
      <c r="G53"/>
      <c r="H53"/>
      <c r="I53"/>
    </row>
    <row r="54" spans="1:12" ht="15">
      <c r="A54"/>
      <c r="B54"/>
      <c r="C54"/>
      <c r="D54"/>
      <c r="E54"/>
      <c r="F54"/>
      <c r="G54"/>
      <c r="H54"/>
      <c r="I54"/>
    </row>
    <row r="55" spans="1:12" ht="6.75" customHeight="1">
      <c r="A55" s="3"/>
      <c r="B55" s="3"/>
      <c r="C55" s="3"/>
      <c r="D55" s="3"/>
      <c r="E55" s="3"/>
      <c r="F55" s="3"/>
      <c r="G55" s="3"/>
      <c r="H55" s="3"/>
    </row>
    <row r="56" spans="1:12" ht="14.25" customHeight="1">
      <c r="A56" s="84" t="s">
        <v>276</v>
      </c>
      <c r="B56" s="85"/>
      <c r="C56" s="85"/>
      <c r="D56" s="85"/>
      <c r="E56" s="85"/>
      <c r="F56" s="85"/>
      <c r="G56" s="85"/>
      <c r="H56" s="85"/>
    </row>
  </sheetData>
  <mergeCells count="3">
    <mergeCell ref="B14:D14"/>
    <mergeCell ref="E14:G14"/>
    <mergeCell ref="A5:G5"/>
  </mergeCells>
  <printOptions horizontalCentered="1"/>
  <pageMargins left="0.70866141732283472" right="0.70866141732283472" top="0.74803149606299213" bottom="0.74803149606299213" header="0.31496062992125984" footer="0.31496062992125984"/>
  <pageSetup paperSize="9" scale="94" orientation="portrait" r:id="rId2"/>
  <drawing r:id="rId3"/>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5"/>
  <sheetViews>
    <sheetView showGridLines="0" view="pageBreakPreview" zoomScale="60" zoomScaleNormal="100" workbookViewId="0">
      <selection activeCell="L39" sqref="L39"/>
    </sheetView>
  </sheetViews>
  <sheetFormatPr baseColWidth="10" defaultColWidth="11.42578125" defaultRowHeight="13.5"/>
  <cols>
    <col min="1" max="1" width="23.42578125" style="48" customWidth="1"/>
    <col min="2" max="4" width="23.140625" style="48" customWidth="1"/>
    <col min="5" max="5" width="11.5703125" style="48" bestFit="1" customWidth="1"/>
    <col min="6" max="6" width="15.140625" style="48" bestFit="1"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11" s="273" customFormat="1" ht="15" customHeight="1">
      <c r="B1" s="1"/>
      <c r="C1" s="1"/>
      <c r="D1" s="64" t="s">
        <v>48</v>
      </c>
    </row>
    <row r="2" spans="1:11" s="273" customFormat="1" ht="15" customHeight="1">
      <c r="B2" s="1"/>
      <c r="C2" s="1"/>
      <c r="D2" s="6" t="s">
        <v>42</v>
      </c>
    </row>
    <row r="3" spans="1:11" s="273" customFormat="1" ht="15" customHeight="1">
      <c r="B3" s="1"/>
      <c r="C3" s="1"/>
      <c r="D3" s="1"/>
    </row>
    <row r="4" spans="1:11" s="273" customFormat="1" ht="12.75" customHeight="1">
      <c r="B4" s="1"/>
      <c r="C4" s="1"/>
      <c r="D4" s="1"/>
    </row>
    <row r="5" spans="1:11" s="273" customFormat="1" ht="23.25" customHeight="1">
      <c r="A5" s="81" t="s">
        <v>196</v>
      </c>
      <c r="B5" s="81"/>
      <c r="C5" s="81"/>
      <c r="D5" s="81"/>
    </row>
    <row r="6" spans="1:11" s="273" customFormat="1" ht="25.5" customHeight="1">
      <c r="A6" s="117" t="s">
        <v>198</v>
      </c>
      <c r="C6" s="65"/>
      <c r="D6" s="65"/>
    </row>
    <row r="7" spans="1:11" s="273" customFormat="1" ht="12.75" customHeight="1">
      <c r="A7" s="71"/>
      <c r="B7" s="365"/>
      <c r="C7" s="365"/>
      <c r="D7" s="365"/>
    </row>
    <row r="8" spans="1:11" s="114" customFormat="1" ht="27">
      <c r="A8" s="285" t="s">
        <v>45</v>
      </c>
      <c r="B8" s="132" t="s">
        <v>200</v>
      </c>
      <c r="C8" s="132" t="s">
        <v>199</v>
      </c>
      <c r="D8" s="132" t="s">
        <v>197</v>
      </c>
      <c r="E8" s="115"/>
      <c r="F8" s="115"/>
      <c r="G8" s="115"/>
      <c r="H8" s="115"/>
      <c r="I8" s="115"/>
      <c r="J8" s="115"/>
      <c r="K8" s="115"/>
    </row>
    <row r="9" spans="1:11" ht="15.75" hidden="1">
      <c r="A9" s="111" t="s">
        <v>39</v>
      </c>
      <c r="B9" s="118"/>
      <c r="C9" s="118"/>
      <c r="D9" s="113"/>
      <c r="E9" s="273"/>
      <c r="F9" s="273"/>
      <c r="G9" s="273"/>
      <c r="H9" s="273"/>
      <c r="I9" s="273"/>
      <c r="J9" s="273"/>
      <c r="K9" s="273"/>
    </row>
    <row r="10" spans="1:11" ht="15.75">
      <c r="A10" s="121">
        <v>2018</v>
      </c>
      <c r="B10" s="185">
        <v>1578480</v>
      </c>
      <c r="C10" s="185">
        <v>367837.29021000001</v>
      </c>
      <c r="D10" s="116">
        <v>23.30325947810552</v>
      </c>
      <c r="E10" s="273"/>
      <c r="F10" s="273"/>
      <c r="G10" s="273"/>
      <c r="H10" s="273"/>
      <c r="I10" s="273"/>
      <c r="J10" s="273"/>
      <c r="K10" s="273"/>
    </row>
    <row r="11" spans="1:11" ht="15.75">
      <c r="A11" s="121">
        <v>2019</v>
      </c>
      <c r="B11" s="185">
        <v>1511221.007</v>
      </c>
      <c r="C11" s="185">
        <v>384815.8</v>
      </c>
      <c r="D11" s="116">
        <v>25.46389960287258</v>
      </c>
      <c r="E11" s="273"/>
      <c r="F11" s="273"/>
      <c r="G11" s="273"/>
      <c r="H11" s="273"/>
      <c r="I11" s="273"/>
      <c r="J11" s="273"/>
      <c r="K11" s="273"/>
    </row>
    <row r="12" spans="1:11" ht="15.75">
      <c r="A12" s="121">
        <v>2020</v>
      </c>
      <c r="B12" s="185">
        <v>1422248.821</v>
      </c>
      <c r="C12" s="185">
        <v>399892.79996442498</v>
      </c>
      <c r="D12" s="116">
        <v>28.116936647080898</v>
      </c>
      <c r="E12" s="273"/>
      <c r="F12" s="273"/>
      <c r="G12" s="273"/>
      <c r="H12" s="273"/>
      <c r="I12" s="273"/>
      <c r="J12" s="273"/>
      <c r="K12" s="273"/>
    </row>
    <row r="13" spans="1:11" ht="15.75">
      <c r="A13" s="121">
        <v>2021</v>
      </c>
      <c r="B13" s="185">
        <v>1569932.3870000001</v>
      </c>
      <c r="C13" s="185">
        <v>461057.18076000002</v>
      </c>
      <c r="D13" s="116">
        <v>29.367964160611969</v>
      </c>
      <c r="E13" s="273"/>
      <c r="F13" s="273"/>
      <c r="G13" s="273"/>
      <c r="H13" s="273"/>
      <c r="I13" s="273"/>
      <c r="J13" s="273"/>
      <c r="K13" s="273"/>
    </row>
    <row r="14" spans="1:11" ht="15.75">
      <c r="A14" s="121">
        <v>2022</v>
      </c>
      <c r="B14" s="185">
        <v>1716208.933</v>
      </c>
      <c r="C14" s="185">
        <v>504351.18284999998</v>
      </c>
      <c r="D14" s="116">
        <v>29.387516470292141</v>
      </c>
      <c r="E14" s="273"/>
      <c r="F14" s="273"/>
      <c r="G14" s="273"/>
      <c r="H14" s="273"/>
      <c r="I14" s="273"/>
      <c r="J14" s="273"/>
      <c r="K14" s="273"/>
    </row>
    <row r="15" spans="1:11" ht="20.25" customHeight="1">
      <c r="A15" s="120" t="s">
        <v>314</v>
      </c>
      <c r="B15" s="186">
        <f>GETPIVOTDATA("Gasto total ejercido",$A$8,"entidad","Oficinas Nacionales","Año",2022)-GETPIVOTDATA("Gasto total ejercido",$A$8,"entidad","Oficinas Nacionales","Año",2021)</f>
        <v>146276.54599999986</v>
      </c>
      <c r="C15" s="186">
        <f>GETPIVOTDATA("Gasto Ejercido en docentes",$A$8,"entidad","Oficinas Nacionales","Año",2022)-GETPIVOTDATA("Gasto Ejercido en docentes",$A$8,"entidad","Oficinas Nacionales","Año",2021)</f>
        <v>43294.002089999965</v>
      </c>
      <c r="D15" s="119">
        <f>GETPIVOTDATA("Costo docente (%)",$A$8,"entidad","Oficinas Nacionales","Año",2022)-GETPIVOTDATA("Costo docente (%)",$A$8,"entidad","Oficinas Nacionales","Año",2021)</f>
        <v>1.9552309680172186E-2</v>
      </c>
      <c r="E15" s="273"/>
      <c r="F15" s="273"/>
      <c r="G15" s="273"/>
      <c r="H15" s="273"/>
      <c r="I15" s="273"/>
      <c r="J15" s="273"/>
      <c r="K15" s="273"/>
    </row>
    <row r="16" spans="1:11" ht="15">
      <c r="A16" s="273"/>
      <c r="B16" s="273"/>
      <c r="C16" s="273"/>
      <c r="D16" s="273"/>
      <c r="E16" s="273"/>
      <c r="F16" s="273"/>
      <c r="G16" s="273"/>
      <c r="H16" s="273"/>
      <c r="I16" s="273"/>
      <c r="J16" s="273"/>
      <c r="K16" s="273"/>
    </row>
    <row r="17" spans="1:11" ht="15">
      <c r="A17" s="273" t="str">
        <f>A8</f>
        <v>Año</v>
      </c>
      <c r="B17" s="273" t="str">
        <f>B8</f>
        <v>Gasto total ejercido</v>
      </c>
      <c r="C17" s="273" t="str">
        <f>C8</f>
        <v>Gasto Ejercido en docentes</v>
      </c>
      <c r="D17" s="273" t="str">
        <f>D8</f>
        <v>Costo docente (%)</v>
      </c>
      <c r="E17" s="273"/>
      <c r="F17" s="273"/>
      <c r="G17" s="273"/>
      <c r="H17" s="273"/>
      <c r="I17" s="273"/>
      <c r="J17" s="273"/>
      <c r="K17" s="273"/>
    </row>
    <row r="18" spans="1:11" ht="15">
      <c r="A18" s="273">
        <f t="shared" ref="A18:D22" si="0">A10</f>
        <v>2018</v>
      </c>
      <c r="B18" s="273">
        <f t="shared" si="0"/>
        <v>1578480</v>
      </c>
      <c r="C18" s="273">
        <f t="shared" si="0"/>
        <v>367837.29021000001</v>
      </c>
      <c r="D18" s="273">
        <f t="shared" si="0"/>
        <v>23.30325947810552</v>
      </c>
      <c r="E18" s="273"/>
      <c r="F18" s="273"/>
      <c r="G18" s="273"/>
      <c r="H18" s="273"/>
      <c r="I18" s="273"/>
      <c r="J18" s="273"/>
      <c r="K18" s="273"/>
    </row>
    <row r="19" spans="1:11" ht="15">
      <c r="A19" s="273">
        <f t="shared" si="0"/>
        <v>2019</v>
      </c>
      <c r="B19" s="273">
        <f t="shared" si="0"/>
        <v>1511221.007</v>
      </c>
      <c r="C19" s="273">
        <f t="shared" si="0"/>
        <v>384815.8</v>
      </c>
      <c r="D19" s="273">
        <f t="shared" si="0"/>
        <v>25.46389960287258</v>
      </c>
      <c r="E19" s="273"/>
      <c r="F19" s="273"/>
      <c r="G19" s="273"/>
      <c r="H19" s="273"/>
      <c r="I19" s="273"/>
      <c r="J19" s="273"/>
      <c r="K19" s="273"/>
    </row>
    <row r="20" spans="1:11" ht="15">
      <c r="A20" s="273">
        <f t="shared" si="0"/>
        <v>2020</v>
      </c>
      <c r="B20" s="273">
        <f t="shared" si="0"/>
        <v>1422248.821</v>
      </c>
      <c r="C20" s="273">
        <f t="shared" si="0"/>
        <v>399892.79996442498</v>
      </c>
      <c r="D20" s="273">
        <f t="shared" si="0"/>
        <v>28.116936647080898</v>
      </c>
      <c r="E20" s="273"/>
      <c r="F20" s="273"/>
      <c r="G20" s="273"/>
      <c r="H20" s="273"/>
      <c r="I20" s="273"/>
      <c r="J20" s="273"/>
      <c r="K20" s="273"/>
    </row>
    <row r="21" spans="1:11" ht="15">
      <c r="A21" s="273">
        <f t="shared" si="0"/>
        <v>2021</v>
      </c>
      <c r="B21" s="273">
        <f t="shared" si="0"/>
        <v>1569932.3870000001</v>
      </c>
      <c r="C21" s="273">
        <f t="shared" si="0"/>
        <v>461057.18076000002</v>
      </c>
      <c r="D21" s="273">
        <f t="shared" si="0"/>
        <v>29.367964160611969</v>
      </c>
      <c r="E21" s="273"/>
      <c r="F21" s="273"/>
      <c r="G21" s="273"/>
      <c r="H21" s="273"/>
      <c r="I21" s="273"/>
      <c r="J21" s="273"/>
      <c r="K21" s="273"/>
    </row>
    <row r="22" spans="1:11" ht="15">
      <c r="A22" s="273">
        <f t="shared" si="0"/>
        <v>2022</v>
      </c>
      <c r="B22" s="273">
        <f t="shared" si="0"/>
        <v>1716208.933</v>
      </c>
      <c r="C22" s="273">
        <f t="shared" si="0"/>
        <v>504351.18284999998</v>
      </c>
      <c r="D22" s="273">
        <f t="shared" si="0"/>
        <v>29.387516470292141</v>
      </c>
      <c r="E22" s="273"/>
      <c r="F22" s="273"/>
      <c r="G22" s="273"/>
      <c r="H22" s="273"/>
      <c r="I22" s="273"/>
      <c r="J22" s="273"/>
      <c r="K22" s="273"/>
    </row>
    <row r="23" spans="1:11" ht="15">
      <c r="A23" s="273" t="e">
        <f>#REF!</f>
        <v>#REF!</v>
      </c>
      <c r="B23" s="273" t="e">
        <f>#REF!</f>
        <v>#REF!</v>
      </c>
      <c r="C23" s="273" t="e">
        <f>#REF!</f>
        <v>#REF!</v>
      </c>
      <c r="D23" s="273" t="e">
        <f>#REF!</f>
        <v>#REF!</v>
      </c>
      <c r="E23" s="273"/>
      <c r="F23" s="273"/>
      <c r="G23" s="273"/>
      <c r="H23" s="273"/>
      <c r="I23" s="273"/>
      <c r="J23" s="273"/>
      <c r="K23" s="273"/>
    </row>
    <row r="24" spans="1:11" ht="15">
      <c r="A24" s="273" t="e">
        <f>#REF!</f>
        <v>#REF!</v>
      </c>
      <c r="B24" s="273" t="e">
        <f>#REF!</f>
        <v>#REF!</v>
      </c>
      <c r="C24" s="273" t="e">
        <f>#REF!</f>
        <v>#REF!</v>
      </c>
      <c r="D24" s="273" t="e">
        <f>#REF!</f>
        <v>#REF!</v>
      </c>
      <c r="E24" s="273"/>
      <c r="F24" s="273"/>
      <c r="G24" s="273"/>
      <c r="H24" s="273"/>
      <c r="I24" s="273"/>
      <c r="J24" s="273"/>
      <c r="K24" s="273"/>
    </row>
    <row r="25" spans="1:11" ht="15">
      <c r="A25" s="273" t="e">
        <f>#REF!</f>
        <v>#REF!</v>
      </c>
      <c r="B25" s="273" t="e">
        <f>#REF!</f>
        <v>#REF!</v>
      </c>
      <c r="C25" s="273" t="e">
        <f>#REF!</f>
        <v>#REF!</v>
      </c>
      <c r="D25" s="273" t="e">
        <f>#REF!</f>
        <v>#REF!</v>
      </c>
      <c r="E25" s="273"/>
      <c r="F25" s="273"/>
      <c r="G25" s="273"/>
      <c r="H25" s="273"/>
      <c r="I25" s="273"/>
      <c r="J25" s="273"/>
      <c r="K25" s="273"/>
    </row>
    <row r="26" spans="1:11" ht="15">
      <c r="A26" s="273"/>
      <c r="B26" s="273"/>
      <c r="C26" s="273"/>
      <c r="D26" s="273"/>
      <c r="E26" s="273"/>
      <c r="F26" s="273"/>
      <c r="G26" s="273"/>
      <c r="H26" s="273"/>
      <c r="I26" s="273"/>
      <c r="J26" s="273"/>
      <c r="K26" s="273"/>
    </row>
    <row r="27" spans="1:11" ht="15">
      <c r="A27" s="273"/>
      <c r="B27" s="273"/>
      <c r="C27" s="273"/>
      <c r="D27" s="273"/>
      <c r="E27" s="273"/>
      <c r="F27" s="273"/>
      <c r="G27" s="273"/>
      <c r="H27" s="273"/>
      <c r="I27" s="273"/>
      <c r="J27" s="273"/>
      <c r="K27" s="273"/>
    </row>
    <row r="28" spans="1:11" ht="15">
      <c r="A28" s="273"/>
      <c r="B28" s="273"/>
      <c r="C28" s="273"/>
      <c r="D28" s="273"/>
      <c r="E28" s="273"/>
      <c r="F28" s="273"/>
      <c r="G28" s="273"/>
      <c r="H28" s="273"/>
      <c r="I28" s="273"/>
      <c r="J28" s="273"/>
      <c r="K28" s="273"/>
    </row>
    <row r="29" spans="1:11" ht="15">
      <c r="A29" s="273"/>
      <c r="B29" s="273"/>
      <c r="C29" s="273"/>
      <c r="D29" s="273"/>
      <c r="E29" s="273"/>
      <c r="F29" s="273"/>
      <c r="G29" s="273"/>
      <c r="H29" s="273"/>
      <c r="I29" s="273"/>
      <c r="J29" s="273"/>
      <c r="K29" s="273"/>
    </row>
    <row r="30" spans="1:11" ht="15">
      <c r="A30" s="273"/>
      <c r="B30" s="273"/>
      <c r="C30" s="273"/>
      <c r="D30" s="273"/>
      <c r="E30" s="273"/>
      <c r="F30" s="273"/>
      <c r="G30" s="273"/>
      <c r="H30" s="273"/>
      <c r="I30" s="273"/>
      <c r="J30" s="273"/>
      <c r="K30" s="273"/>
    </row>
    <row r="31" spans="1:11" ht="15">
      <c r="A31" s="273"/>
      <c r="B31" s="273"/>
      <c r="C31" s="273"/>
      <c r="D31" s="273"/>
      <c r="E31" s="273"/>
      <c r="F31" s="273"/>
      <c r="G31" s="273"/>
      <c r="H31" s="273"/>
      <c r="I31" s="273"/>
      <c r="J31" s="273"/>
      <c r="K31" s="273"/>
    </row>
    <row r="32" spans="1:11" ht="15">
      <c r="A32" s="273"/>
      <c r="B32" s="273"/>
      <c r="C32" s="273"/>
      <c r="D32" s="273"/>
      <c r="E32" s="273"/>
      <c r="F32" s="273"/>
      <c r="G32" s="273"/>
      <c r="H32" s="273"/>
      <c r="I32" s="273"/>
      <c r="J32" s="273"/>
      <c r="K32" s="273"/>
    </row>
    <row r="33" spans="1:11" ht="15">
      <c r="A33" s="273"/>
      <c r="B33" s="273"/>
      <c r="C33" s="273"/>
      <c r="D33" s="273"/>
      <c r="E33" s="273"/>
      <c r="F33" s="273"/>
      <c r="G33" s="273"/>
      <c r="H33" s="273"/>
      <c r="I33" s="273"/>
      <c r="J33" s="273"/>
      <c r="K33" s="273"/>
    </row>
    <row r="34" spans="1:11" ht="15">
      <c r="A34" s="273"/>
      <c r="B34" s="273"/>
      <c r="C34" s="273"/>
      <c r="D34" s="273"/>
      <c r="E34" s="273"/>
      <c r="F34" s="273"/>
      <c r="G34" s="273"/>
      <c r="H34" s="273"/>
      <c r="I34" s="273"/>
      <c r="J34" s="273"/>
      <c r="K34" s="273"/>
    </row>
    <row r="35" spans="1:11" ht="15">
      <c r="A35" s="273"/>
      <c r="B35" s="273"/>
      <c r="C35" s="273"/>
      <c r="D35" s="273"/>
      <c r="E35" s="273"/>
      <c r="F35" s="273"/>
      <c r="G35" s="273"/>
      <c r="H35" s="273"/>
      <c r="I35" s="273"/>
      <c r="J35" s="273"/>
      <c r="K35" s="273"/>
    </row>
    <row r="36" spans="1:11" ht="15">
      <c r="A36" s="273"/>
      <c r="B36" s="273"/>
      <c r="C36" s="273"/>
      <c r="D36" s="273"/>
      <c r="E36" s="273"/>
      <c r="F36" s="273"/>
      <c r="G36" s="273"/>
      <c r="H36" s="273"/>
      <c r="I36" s="273"/>
      <c r="J36" s="273"/>
      <c r="K36" s="273"/>
    </row>
    <row r="37" spans="1:11" ht="15">
      <c r="A37" s="273"/>
      <c r="B37" s="273"/>
      <c r="C37" s="273"/>
      <c r="D37" s="273"/>
      <c r="E37" s="273"/>
      <c r="F37" s="273"/>
      <c r="G37" s="273"/>
      <c r="H37" s="273"/>
      <c r="I37" s="273"/>
      <c r="J37" s="273"/>
      <c r="K37" s="273"/>
    </row>
    <row r="38" spans="1:11" ht="15">
      <c r="A38" s="273"/>
      <c r="B38" s="273"/>
      <c r="C38" s="273"/>
      <c r="D38" s="273"/>
      <c r="E38" s="273"/>
      <c r="F38" s="273"/>
      <c r="G38" s="273"/>
      <c r="H38" s="273"/>
      <c r="I38" s="273"/>
      <c r="J38" s="273"/>
      <c r="K38" s="273"/>
    </row>
    <row r="39" spans="1:11" ht="15">
      <c r="A39" s="273"/>
      <c r="B39" s="273"/>
      <c r="C39" s="273"/>
      <c r="D39" s="273"/>
      <c r="E39" s="273"/>
      <c r="F39" s="273"/>
      <c r="G39" s="273"/>
      <c r="H39" s="273"/>
      <c r="I39" s="273"/>
      <c r="J39" s="273"/>
      <c r="K39" s="273"/>
    </row>
    <row r="40" spans="1:11" ht="15" hidden="1">
      <c r="A40" s="273"/>
      <c r="B40" s="273"/>
      <c r="C40" s="273"/>
      <c r="D40" s="273"/>
      <c r="E40" s="273"/>
      <c r="F40" s="273"/>
      <c r="G40" s="273"/>
      <c r="H40" s="273"/>
      <c r="I40" s="273"/>
      <c r="J40" s="273"/>
      <c r="K40" s="273"/>
    </row>
    <row r="41" spans="1:11" ht="15" hidden="1">
      <c r="A41" s="273"/>
      <c r="B41" s="273"/>
      <c r="C41" s="273"/>
      <c r="D41" s="273"/>
      <c r="E41" s="273"/>
      <c r="F41" s="273"/>
      <c r="G41" s="273"/>
      <c r="H41" s="273"/>
      <c r="I41" s="273"/>
      <c r="J41" s="273"/>
      <c r="K41" s="273"/>
    </row>
    <row r="42" spans="1:11" ht="15" hidden="1">
      <c r="A42" s="273"/>
      <c r="B42" s="273"/>
      <c r="C42" s="273"/>
      <c r="D42" s="273"/>
    </row>
    <row r="43" spans="1:11" ht="15" hidden="1">
      <c r="A43" s="273"/>
      <c r="B43" s="273"/>
      <c r="C43" s="273"/>
      <c r="D43" s="273"/>
    </row>
    <row r="44" spans="1:11" ht="9" customHeight="1">
      <c r="A44" s="273"/>
      <c r="B44" s="273"/>
      <c r="C44" s="273"/>
      <c r="D44" s="273"/>
    </row>
    <row r="45" spans="1:11" ht="23.25" customHeight="1">
      <c r="A45" s="201" t="s">
        <v>350</v>
      </c>
      <c r="B45" s="85"/>
      <c r="C45" s="85"/>
      <c r="D45" s="85"/>
    </row>
  </sheetData>
  <mergeCells count="1">
    <mergeCell ref="B7:D7"/>
  </mergeCells>
  <pageMargins left="0.51181102362204722" right="0.51181102362204722" top="1.1417322834645669" bottom="0.55118110236220474" header="0.31496062992125984" footer="0.31496062992125984"/>
  <pageSetup paperSize="9" scale="99"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5"/>
  <sheetViews>
    <sheetView showGridLines="0" view="pageBreakPreview" topLeftCell="A7" zoomScale="60" zoomScaleNormal="100" workbookViewId="0">
      <selection activeCell="L39" sqref="L39"/>
    </sheetView>
  </sheetViews>
  <sheetFormatPr baseColWidth="10" defaultColWidth="11.42578125" defaultRowHeight="13.5"/>
  <cols>
    <col min="1" max="1" width="23.42578125" style="48" customWidth="1"/>
    <col min="2" max="4" width="23.140625" style="48" customWidth="1"/>
    <col min="5" max="5" width="11.5703125" style="48" bestFit="1" customWidth="1"/>
    <col min="6" max="6" width="15.140625" style="48" bestFit="1"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11" s="273" customFormat="1" ht="15" customHeight="1">
      <c r="B1" s="1"/>
      <c r="C1" s="1"/>
      <c r="D1" s="64" t="s">
        <v>48</v>
      </c>
    </row>
    <row r="2" spans="1:11" s="273" customFormat="1" ht="15" customHeight="1">
      <c r="B2" s="1"/>
      <c r="C2" s="1"/>
      <c r="D2" s="6" t="s">
        <v>42</v>
      </c>
    </row>
    <row r="3" spans="1:11" s="273" customFormat="1" ht="15" customHeight="1">
      <c r="B3" s="1"/>
      <c r="C3" s="1"/>
      <c r="D3" s="1"/>
    </row>
    <row r="4" spans="1:11" s="273" customFormat="1" ht="12.75" customHeight="1">
      <c r="B4" s="1"/>
      <c r="C4" s="1"/>
      <c r="D4" s="1"/>
    </row>
    <row r="5" spans="1:11" s="273" customFormat="1" ht="23.25" customHeight="1">
      <c r="A5" s="81" t="s">
        <v>206</v>
      </c>
      <c r="B5" s="81"/>
      <c r="C5" s="81"/>
      <c r="D5" s="81"/>
    </row>
    <row r="6" spans="1:11" s="273" customFormat="1" ht="25.5" customHeight="1">
      <c r="A6" s="117" t="s">
        <v>198</v>
      </c>
      <c r="C6" s="65"/>
      <c r="D6" s="65"/>
    </row>
    <row r="7" spans="1:11" s="273" customFormat="1" ht="12.75" customHeight="1">
      <c r="A7" s="71"/>
      <c r="B7" s="365"/>
      <c r="C7" s="365"/>
      <c r="D7" s="365"/>
    </row>
    <row r="8" spans="1:11" s="125" customFormat="1" ht="40.5">
      <c r="A8" s="286" t="s">
        <v>45</v>
      </c>
      <c r="B8" s="114" t="s">
        <v>203</v>
      </c>
      <c r="C8" s="114" t="s">
        <v>205</v>
      </c>
      <c r="D8" s="114" t="s">
        <v>204</v>
      </c>
      <c r="E8" s="126"/>
      <c r="F8" s="124"/>
      <c r="G8" s="124"/>
      <c r="H8" s="124"/>
      <c r="I8" s="124"/>
      <c r="J8" s="124"/>
      <c r="K8" s="124"/>
    </row>
    <row r="9" spans="1:11" ht="15.75" hidden="1">
      <c r="A9" s="111" t="s">
        <v>39</v>
      </c>
      <c r="B9" s="118"/>
      <c r="C9" s="118"/>
      <c r="D9" s="123"/>
      <c r="E9" s="273"/>
      <c r="F9" s="273"/>
      <c r="G9" s="273"/>
      <c r="H9" s="273"/>
      <c r="I9" s="273"/>
      <c r="J9" s="273"/>
      <c r="K9" s="273"/>
    </row>
    <row r="10" spans="1:11" ht="15.75">
      <c r="A10" s="121">
        <v>2018</v>
      </c>
      <c r="B10" s="185">
        <v>1583166</v>
      </c>
      <c r="C10" s="185">
        <v>1578480</v>
      </c>
      <c r="D10" s="123">
        <v>99.704010823880751</v>
      </c>
      <c r="E10" s="273"/>
      <c r="F10" s="273"/>
      <c r="G10" s="273"/>
      <c r="H10" s="273"/>
      <c r="I10" s="273"/>
      <c r="J10" s="273"/>
      <c r="K10" s="273"/>
    </row>
    <row r="11" spans="1:11" ht="15.75">
      <c r="A11" s="121">
        <v>2019</v>
      </c>
      <c r="B11" s="185">
        <v>1512433.503</v>
      </c>
      <c r="C11" s="185">
        <v>1511221.007</v>
      </c>
      <c r="D11" s="123">
        <v>99.919831450599645</v>
      </c>
      <c r="E11" s="273"/>
      <c r="F11" s="273"/>
      <c r="G11" s="273"/>
      <c r="H11" s="273"/>
      <c r="I11" s="273"/>
      <c r="J11" s="273"/>
      <c r="K11" s="273"/>
    </row>
    <row r="12" spans="1:11" ht="15.75">
      <c r="A12" s="121">
        <v>2020</v>
      </c>
      <c r="B12" s="185">
        <v>1457643.3670000001</v>
      </c>
      <c r="C12" s="185">
        <v>1422248.821</v>
      </c>
      <c r="D12" s="123">
        <v>97.571796586098685</v>
      </c>
      <c r="E12" s="273"/>
      <c r="F12" s="273"/>
      <c r="G12" s="273"/>
      <c r="H12" s="273"/>
      <c r="I12" s="273"/>
      <c r="J12" s="273"/>
      <c r="K12" s="273"/>
    </row>
    <row r="13" spans="1:11" ht="15.75">
      <c r="A13" s="121">
        <v>2021</v>
      </c>
      <c r="B13" s="185">
        <v>1609932.3870000001</v>
      </c>
      <c r="C13" s="185">
        <v>1597687.4310000001</v>
      </c>
      <c r="D13" s="123">
        <v>99.239411785309954</v>
      </c>
      <c r="E13" s="273"/>
      <c r="F13" s="273"/>
      <c r="G13" s="273"/>
      <c r="H13" s="273"/>
      <c r="I13" s="273"/>
      <c r="J13" s="273"/>
      <c r="K13" s="273"/>
    </row>
    <row r="14" spans="1:11" ht="15.75">
      <c r="A14" s="121">
        <v>2022</v>
      </c>
      <c r="B14" s="185">
        <v>1725174.2520000001</v>
      </c>
      <c r="C14" s="185">
        <v>1716208.933</v>
      </c>
      <c r="D14" s="123">
        <v>99.480323857743258</v>
      </c>
      <c r="E14" s="273"/>
      <c r="F14" s="273"/>
      <c r="G14" s="273"/>
      <c r="H14" s="273"/>
      <c r="I14" s="273"/>
      <c r="J14" s="273"/>
      <c r="K14" s="273"/>
    </row>
    <row r="15" spans="1:11" ht="15.75">
      <c r="A15" s="120" t="s">
        <v>314</v>
      </c>
      <c r="B15" s="186">
        <f>GETPIVOTDATA("Presupuesto Reprogramado total",$A$8,"entidad","Oficinas Nacionales","Año",2022)-GETPIVOTDATA("Presupuesto Reprogramado total",$A$8,"entidad","Oficinas Nacionales","Año",2021)</f>
        <v>115241.86499999999</v>
      </c>
      <c r="C15" s="186">
        <f>GETPIVOTDATA("Presupuesto
Ejercido Total",$A$8,"entidad","Oficinas Nacionales","Año",2022)-GETPIVOTDATA("Presupuesto
Ejercido Total",$A$8,"entidad","Oficinas Nacionales","Año",2021)</f>
        <v>118521.50199999986</v>
      </c>
      <c r="D15" s="119">
        <f>GETPIVOTDATA("Evolución del Presupuesto Reprogramado Total",$A$8,"entidad","Oficinas Nacionales","Año",2022)-GETPIVOTDATA("Evolución del Presupuesto Reprogramado Total",$A$8,"entidad","Oficinas Nacionales","Año",2021)</f>
        <v>0.24091207243330359</v>
      </c>
      <c r="E15" s="273"/>
      <c r="F15" s="273"/>
      <c r="G15" s="273"/>
      <c r="H15" s="273"/>
      <c r="I15" s="273"/>
      <c r="J15" s="273"/>
      <c r="K15" s="273"/>
    </row>
    <row r="16" spans="1:11" ht="15">
      <c r="A16" s="273"/>
      <c r="B16" s="273"/>
      <c r="C16" s="273"/>
      <c r="D16" s="273"/>
      <c r="E16" s="273"/>
      <c r="F16" s="273"/>
      <c r="G16" s="273"/>
      <c r="H16" s="273"/>
      <c r="I16" s="273"/>
      <c r="J16" s="273"/>
      <c r="K16" s="273"/>
    </row>
    <row r="17" spans="1:11" ht="17.25" customHeight="1">
      <c r="A17" s="273" t="str">
        <f>A8</f>
        <v>Año</v>
      </c>
      <c r="B17" s="273" t="str">
        <f>B8</f>
        <v>Presupuesto Reprogramado total</v>
      </c>
      <c r="C17" s="273" t="str">
        <f>C8</f>
        <v>Presupuesto
Ejercido Total</v>
      </c>
      <c r="D17" s="127" t="str">
        <f>D8</f>
        <v>Evolución del Presupuesto Reprogramado Total</v>
      </c>
      <c r="E17" s="273"/>
      <c r="F17" s="273"/>
      <c r="G17" s="273"/>
      <c r="H17" s="273"/>
      <c r="I17" s="273"/>
      <c r="J17" s="273"/>
      <c r="K17" s="273"/>
    </row>
    <row r="18" spans="1:11" ht="15">
      <c r="A18" s="273">
        <f t="shared" ref="A18:D22" si="0">A10</f>
        <v>2018</v>
      </c>
      <c r="B18" s="273">
        <f t="shared" si="0"/>
        <v>1583166</v>
      </c>
      <c r="C18" s="273">
        <f t="shared" si="0"/>
        <v>1578480</v>
      </c>
      <c r="D18" s="273">
        <f t="shared" si="0"/>
        <v>99.704010823880751</v>
      </c>
      <c r="E18" s="273"/>
      <c r="F18" s="273"/>
      <c r="G18" s="273"/>
      <c r="H18" s="273"/>
      <c r="I18" s="273"/>
      <c r="J18" s="273"/>
      <c r="K18" s="273"/>
    </row>
    <row r="19" spans="1:11" ht="15">
      <c r="A19" s="273">
        <f t="shared" si="0"/>
        <v>2019</v>
      </c>
      <c r="B19" s="273">
        <f t="shared" si="0"/>
        <v>1512433.503</v>
      </c>
      <c r="C19" s="273">
        <f t="shared" si="0"/>
        <v>1511221.007</v>
      </c>
      <c r="D19" s="273">
        <f t="shared" si="0"/>
        <v>99.919831450599645</v>
      </c>
      <c r="E19" s="273"/>
      <c r="F19" s="273"/>
      <c r="G19" s="273"/>
      <c r="H19" s="273"/>
      <c r="I19" s="273"/>
      <c r="J19" s="273"/>
      <c r="K19" s="273"/>
    </row>
    <row r="20" spans="1:11" ht="15">
      <c r="A20" s="273">
        <f t="shared" si="0"/>
        <v>2020</v>
      </c>
      <c r="B20" s="273">
        <f t="shared" si="0"/>
        <v>1457643.3670000001</v>
      </c>
      <c r="C20" s="273">
        <f t="shared" si="0"/>
        <v>1422248.821</v>
      </c>
      <c r="D20" s="273">
        <f t="shared" si="0"/>
        <v>97.571796586098685</v>
      </c>
      <c r="E20" s="273"/>
      <c r="F20" s="273"/>
      <c r="G20" s="273"/>
      <c r="H20" s="273"/>
      <c r="I20" s="273"/>
      <c r="J20" s="273"/>
      <c r="K20" s="273"/>
    </row>
    <row r="21" spans="1:11" ht="15">
      <c r="A21" s="273">
        <f t="shared" si="0"/>
        <v>2021</v>
      </c>
      <c r="B21" s="273">
        <f t="shared" si="0"/>
        <v>1609932.3870000001</v>
      </c>
      <c r="C21" s="273">
        <f t="shared" si="0"/>
        <v>1597687.4310000001</v>
      </c>
      <c r="D21" s="273">
        <f t="shared" si="0"/>
        <v>99.239411785309954</v>
      </c>
      <c r="E21" s="273"/>
      <c r="F21" s="273"/>
      <c r="G21" s="273"/>
      <c r="H21" s="273"/>
      <c r="I21" s="273"/>
      <c r="J21" s="273"/>
      <c r="K21" s="273"/>
    </row>
    <row r="22" spans="1:11" ht="15">
      <c r="A22" s="273">
        <f t="shared" si="0"/>
        <v>2022</v>
      </c>
      <c r="B22" s="273">
        <f t="shared" si="0"/>
        <v>1725174.2520000001</v>
      </c>
      <c r="C22" s="273">
        <f t="shared" si="0"/>
        <v>1716208.933</v>
      </c>
      <c r="D22" s="273">
        <f t="shared" si="0"/>
        <v>99.480323857743258</v>
      </c>
      <c r="E22" s="273"/>
      <c r="F22" s="273"/>
      <c r="G22" s="273"/>
      <c r="H22" s="273"/>
      <c r="I22" s="273"/>
      <c r="J22" s="273"/>
      <c r="K22" s="273"/>
    </row>
    <row r="23" spans="1:11" ht="15">
      <c r="A23" s="273" t="e">
        <f>#REF!</f>
        <v>#REF!</v>
      </c>
      <c r="B23" s="273" t="e">
        <f>#REF!</f>
        <v>#REF!</v>
      </c>
      <c r="C23" s="273" t="e">
        <f>#REF!</f>
        <v>#REF!</v>
      </c>
      <c r="D23" s="273" t="e">
        <f>#REF!</f>
        <v>#REF!</v>
      </c>
      <c r="E23" s="273"/>
      <c r="F23" s="273"/>
      <c r="G23" s="273"/>
      <c r="H23" s="273"/>
      <c r="I23" s="273"/>
      <c r="J23" s="273"/>
      <c r="K23" s="273"/>
    </row>
    <row r="24" spans="1:11" ht="15">
      <c r="A24" s="273" t="e">
        <f>#REF!</f>
        <v>#REF!</v>
      </c>
      <c r="B24" s="274" t="e">
        <f>#REF!</f>
        <v>#REF!</v>
      </c>
      <c r="C24" s="273" t="e">
        <f>#REF!</f>
        <v>#REF!</v>
      </c>
      <c r="D24" s="273" t="e">
        <f>#REF!</f>
        <v>#REF!</v>
      </c>
      <c r="E24" s="273"/>
      <c r="F24" s="273"/>
      <c r="G24" s="273"/>
      <c r="H24" s="273"/>
      <c r="I24" s="273"/>
      <c r="J24" s="273"/>
      <c r="K24" s="273"/>
    </row>
    <row r="25" spans="1:11" ht="15">
      <c r="A25" s="273" t="e">
        <f>#REF!</f>
        <v>#REF!</v>
      </c>
      <c r="B25" s="274" t="e">
        <f>#REF!</f>
        <v>#REF!</v>
      </c>
      <c r="C25" s="273" t="e">
        <f>#REF!</f>
        <v>#REF!</v>
      </c>
      <c r="D25" s="273" t="e">
        <f>#REF!</f>
        <v>#REF!</v>
      </c>
      <c r="E25" s="273"/>
      <c r="F25" s="273"/>
      <c r="G25" s="273"/>
      <c r="H25" s="273"/>
      <c r="I25" s="273"/>
      <c r="J25" s="273"/>
      <c r="K25" s="273"/>
    </row>
    <row r="26" spans="1:11" ht="15">
      <c r="A26" s="273"/>
      <c r="B26" s="273"/>
      <c r="C26" s="273"/>
      <c r="D26" s="273"/>
      <c r="E26" s="273"/>
      <c r="F26" s="273"/>
      <c r="G26" s="273"/>
      <c r="H26" s="273"/>
      <c r="I26" s="273"/>
      <c r="J26" s="273"/>
      <c r="K26" s="273"/>
    </row>
    <row r="27" spans="1:11" ht="15">
      <c r="A27" s="273"/>
      <c r="B27" s="273"/>
      <c r="C27" s="273"/>
      <c r="D27" s="273"/>
      <c r="E27" s="273"/>
      <c r="F27" s="273"/>
      <c r="G27" s="273"/>
      <c r="H27" s="273"/>
      <c r="I27" s="273"/>
      <c r="J27" s="273"/>
      <c r="K27" s="273"/>
    </row>
    <row r="28" spans="1:11" ht="15">
      <c r="A28" s="273"/>
      <c r="B28" s="273"/>
      <c r="C28" s="273"/>
      <c r="D28" s="273"/>
      <c r="E28" s="273"/>
      <c r="F28" s="273"/>
      <c r="G28" s="273"/>
      <c r="H28" s="273"/>
      <c r="I28" s="273"/>
      <c r="J28" s="273"/>
      <c r="K28" s="273"/>
    </row>
    <row r="29" spans="1:11" ht="15">
      <c r="A29" s="273"/>
      <c r="B29" s="273"/>
      <c r="C29" s="273"/>
      <c r="D29" s="273"/>
      <c r="E29" s="273"/>
      <c r="F29" s="273"/>
      <c r="G29" s="273"/>
      <c r="H29" s="273"/>
      <c r="I29" s="273"/>
      <c r="J29" s="273"/>
      <c r="K29" s="273"/>
    </row>
    <row r="30" spans="1:11" ht="15">
      <c r="A30" s="273"/>
      <c r="B30" s="273"/>
      <c r="C30" s="273"/>
      <c r="D30" s="273"/>
      <c r="E30" s="273"/>
      <c r="F30" s="273"/>
      <c r="G30" s="273"/>
      <c r="H30" s="273"/>
      <c r="I30" s="273"/>
      <c r="J30" s="273"/>
      <c r="K30" s="273"/>
    </row>
    <row r="31" spans="1:11" ht="15">
      <c r="A31" s="273"/>
      <c r="B31" s="273"/>
      <c r="C31" s="273"/>
      <c r="D31" s="273"/>
      <c r="E31" s="273"/>
      <c r="F31" s="273"/>
      <c r="G31" s="273"/>
      <c r="H31" s="273"/>
      <c r="I31" s="273"/>
      <c r="J31" s="273"/>
      <c r="K31" s="273"/>
    </row>
    <row r="32" spans="1:11" ht="15">
      <c r="A32" s="273"/>
      <c r="B32" s="273"/>
      <c r="C32" s="273"/>
      <c r="D32" s="273"/>
      <c r="E32" s="273"/>
      <c r="F32" s="273"/>
      <c r="G32" s="273"/>
      <c r="H32" s="273"/>
      <c r="I32" s="273"/>
      <c r="J32" s="273"/>
      <c r="K32" s="273"/>
    </row>
    <row r="33" spans="1:11" ht="15">
      <c r="A33" s="273"/>
      <c r="B33" s="273"/>
      <c r="C33" s="273"/>
      <c r="D33" s="273"/>
      <c r="E33" s="273"/>
      <c r="F33" s="273"/>
      <c r="G33" s="273"/>
      <c r="H33" s="273"/>
      <c r="I33" s="273"/>
      <c r="J33" s="273"/>
      <c r="K33" s="273"/>
    </row>
    <row r="34" spans="1:11" ht="15">
      <c r="A34" s="273"/>
      <c r="B34" s="273"/>
      <c r="C34" s="273"/>
      <c r="D34" s="273"/>
      <c r="E34" s="273"/>
      <c r="F34" s="273"/>
      <c r="G34" s="273"/>
      <c r="H34" s="273"/>
      <c r="I34" s="273"/>
      <c r="J34" s="273"/>
      <c r="K34" s="273"/>
    </row>
    <row r="35" spans="1:11" ht="15">
      <c r="A35" s="273"/>
      <c r="B35" s="273"/>
      <c r="C35" s="273"/>
      <c r="D35" s="273"/>
      <c r="E35" s="273"/>
      <c r="F35" s="273"/>
      <c r="G35" s="273"/>
      <c r="H35" s="273"/>
      <c r="I35" s="273"/>
      <c r="J35" s="273"/>
      <c r="K35" s="273"/>
    </row>
    <row r="36" spans="1:11" ht="15">
      <c r="A36" s="273"/>
      <c r="B36" s="273"/>
      <c r="C36" s="273"/>
      <c r="D36" s="273"/>
      <c r="E36" s="273"/>
      <c r="F36" s="273"/>
      <c r="G36" s="273"/>
      <c r="H36" s="273"/>
      <c r="I36" s="273"/>
      <c r="J36" s="273"/>
      <c r="K36" s="273"/>
    </row>
    <row r="37" spans="1:11" ht="15">
      <c r="A37" s="273"/>
      <c r="B37" s="273"/>
      <c r="C37" s="273"/>
      <c r="D37" s="273"/>
      <c r="E37" s="273"/>
      <c r="F37" s="273"/>
      <c r="G37" s="273"/>
      <c r="H37" s="273"/>
      <c r="I37" s="273"/>
      <c r="J37" s="273"/>
      <c r="K37" s="273"/>
    </row>
    <row r="38" spans="1:11" ht="15">
      <c r="A38" s="273"/>
      <c r="B38" s="273"/>
      <c r="C38" s="273"/>
      <c r="D38" s="273"/>
      <c r="E38" s="273"/>
      <c r="F38" s="273"/>
      <c r="G38" s="273"/>
      <c r="H38" s="273"/>
      <c r="I38" s="273"/>
      <c r="J38" s="273"/>
      <c r="K38" s="273"/>
    </row>
    <row r="39" spans="1:11" ht="15">
      <c r="A39" s="273"/>
      <c r="B39" s="273"/>
      <c r="C39" s="273"/>
      <c r="D39" s="273"/>
      <c r="E39" s="273"/>
      <c r="F39" s="273"/>
      <c r="G39" s="273"/>
      <c r="H39" s="273"/>
      <c r="I39" s="273"/>
      <c r="J39" s="273"/>
      <c r="K39" s="273"/>
    </row>
    <row r="40" spans="1:11" ht="15" hidden="1">
      <c r="A40" s="273"/>
      <c r="B40" s="273"/>
      <c r="C40" s="273"/>
      <c r="D40" s="273"/>
      <c r="E40" s="273"/>
      <c r="F40" s="273"/>
      <c r="G40" s="273"/>
      <c r="H40" s="273"/>
      <c r="I40" s="273"/>
      <c r="J40" s="273"/>
      <c r="K40" s="273"/>
    </row>
    <row r="41" spans="1:11" ht="15" hidden="1">
      <c r="A41" s="273"/>
      <c r="B41" s="273"/>
      <c r="C41" s="273"/>
      <c r="D41" s="273"/>
      <c r="E41" s="273"/>
      <c r="F41" s="273"/>
      <c r="G41" s="273"/>
      <c r="H41" s="273"/>
      <c r="I41" s="273"/>
      <c r="J41" s="273"/>
      <c r="K41" s="273"/>
    </row>
    <row r="42" spans="1:11" ht="15" hidden="1">
      <c r="A42" s="273"/>
      <c r="B42" s="273"/>
      <c r="C42" s="273"/>
      <c r="D42" s="273"/>
    </row>
    <row r="43" spans="1:11" ht="15" hidden="1">
      <c r="A43" s="273"/>
      <c r="B43" s="273"/>
      <c r="C43" s="273"/>
      <c r="D43" s="273"/>
    </row>
    <row r="44" spans="1:11" ht="9" customHeight="1">
      <c r="A44" s="273"/>
      <c r="B44" s="273"/>
      <c r="C44" s="273"/>
      <c r="D44" s="273"/>
    </row>
    <row r="45" spans="1:11" ht="18.75" customHeight="1">
      <c r="A45" s="201" t="s">
        <v>202</v>
      </c>
      <c r="B45" s="85"/>
      <c r="C45" s="85"/>
      <c r="D45" s="85"/>
    </row>
  </sheetData>
  <mergeCells count="1">
    <mergeCell ref="B7:D7"/>
  </mergeCells>
  <pageMargins left="0.51181102362204722" right="0.51181102362204722" top="1.1417322834645669" bottom="0.55118110236220474" header="0.31496062992125984" footer="0.31496062992125984"/>
  <pageSetup paperSize="9" scale="99"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5"/>
  <sheetViews>
    <sheetView showGridLines="0" view="pageBreakPreview" topLeftCell="A28" zoomScaleNormal="60" zoomScaleSheetLayoutView="100" workbookViewId="0">
      <selection activeCell="L39" sqref="L39"/>
    </sheetView>
  </sheetViews>
  <sheetFormatPr baseColWidth="10" defaultColWidth="11.42578125" defaultRowHeight="13.5"/>
  <cols>
    <col min="1" max="1" width="23.42578125" style="48" customWidth="1"/>
    <col min="2" max="4" width="23.140625" style="48" customWidth="1"/>
    <col min="5" max="5" width="11.5703125" style="48" bestFit="1" customWidth="1"/>
    <col min="6" max="6" width="15.140625" style="48" bestFit="1"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11" s="273" customFormat="1" ht="15" customHeight="1">
      <c r="B1" s="1"/>
      <c r="C1" s="1"/>
      <c r="D1" s="64" t="s">
        <v>48</v>
      </c>
    </row>
    <row r="2" spans="1:11" s="273" customFormat="1" ht="15" customHeight="1">
      <c r="B2" s="1"/>
      <c r="C2" s="1"/>
      <c r="D2" s="6" t="s">
        <v>42</v>
      </c>
    </row>
    <row r="3" spans="1:11" s="273" customFormat="1" ht="15" customHeight="1">
      <c r="B3" s="1"/>
      <c r="C3" s="1"/>
      <c r="D3" s="1"/>
    </row>
    <row r="4" spans="1:11" s="273" customFormat="1" ht="12.75" customHeight="1">
      <c r="B4" s="1"/>
      <c r="C4" s="1"/>
      <c r="D4" s="1"/>
    </row>
    <row r="5" spans="1:11" s="273" customFormat="1" ht="23.25" customHeight="1">
      <c r="A5" s="81" t="s">
        <v>207</v>
      </c>
      <c r="B5" s="81"/>
      <c r="C5" s="81"/>
      <c r="D5" s="81"/>
    </row>
    <row r="6" spans="1:11" s="273" customFormat="1" ht="25.5" customHeight="1">
      <c r="A6" s="117" t="s">
        <v>198</v>
      </c>
      <c r="C6" s="65"/>
      <c r="D6" s="65"/>
    </row>
    <row r="7" spans="1:11" s="273" customFormat="1" ht="12.75" customHeight="1">
      <c r="A7" s="71"/>
      <c r="B7" s="365"/>
      <c r="C7" s="365"/>
      <c r="D7" s="365"/>
    </row>
    <row r="8" spans="1:11" s="125" customFormat="1" ht="54">
      <c r="A8" s="286" t="s">
        <v>45</v>
      </c>
      <c r="B8" s="114" t="s">
        <v>210</v>
      </c>
      <c r="C8" s="114" t="s">
        <v>208</v>
      </c>
      <c r="D8" s="114" t="s">
        <v>209</v>
      </c>
      <c r="E8" s="126"/>
      <c r="F8" s="124"/>
      <c r="G8" s="124"/>
      <c r="H8" s="124"/>
      <c r="I8" s="124"/>
      <c r="J8" s="124"/>
      <c r="K8" s="124"/>
    </row>
    <row r="9" spans="1:11" ht="15.75" hidden="1">
      <c r="A9" s="111" t="s">
        <v>39</v>
      </c>
      <c r="B9" s="118"/>
      <c r="C9" s="118"/>
      <c r="D9" s="129"/>
      <c r="E9" s="273"/>
      <c r="F9" s="273"/>
      <c r="G9" s="273"/>
      <c r="H9" s="273"/>
      <c r="I9" s="273"/>
      <c r="J9" s="273"/>
      <c r="K9" s="273"/>
    </row>
    <row r="10" spans="1:11" ht="15.75">
      <c r="A10" s="121">
        <v>2018</v>
      </c>
      <c r="B10" s="185">
        <v>1528166.3060000001</v>
      </c>
      <c r="C10" s="185">
        <v>1528166.3060000001</v>
      </c>
      <c r="D10" s="129">
        <v>100</v>
      </c>
      <c r="E10" s="273"/>
      <c r="F10" s="273"/>
      <c r="G10" s="273"/>
      <c r="H10" s="273"/>
      <c r="I10" s="273"/>
      <c r="J10" s="273"/>
      <c r="K10" s="273"/>
    </row>
    <row r="11" spans="1:11" ht="15.75">
      <c r="A11" s="121">
        <v>2019</v>
      </c>
      <c r="B11" s="185">
        <v>1463719.9280000001</v>
      </c>
      <c r="C11" s="185">
        <v>1463719.9280000001</v>
      </c>
      <c r="D11" s="129">
        <v>100</v>
      </c>
      <c r="E11" s="273"/>
      <c r="F11" s="273"/>
      <c r="G11" s="273"/>
      <c r="H11" s="273"/>
      <c r="I11" s="273"/>
      <c r="J11" s="273"/>
      <c r="K11" s="273"/>
    </row>
    <row r="12" spans="1:11" ht="15.75">
      <c r="A12" s="121">
        <v>2020</v>
      </c>
      <c r="B12" s="185">
        <v>1388683.6850000001</v>
      </c>
      <c r="C12" s="185">
        <v>1388683.6850000001</v>
      </c>
      <c r="D12" s="129">
        <v>100</v>
      </c>
      <c r="E12" s="273"/>
      <c r="F12" s="273"/>
      <c r="G12" s="273"/>
      <c r="H12" s="273"/>
      <c r="I12" s="273"/>
      <c r="J12" s="273"/>
      <c r="K12" s="273"/>
    </row>
    <row r="13" spans="1:11" ht="15.75">
      <c r="A13" s="121">
        <v>2021</v>
      </c>
      <c r="B13" s="185">
        <v>1569932.3870000001</v>
      </c>
      <c r="C13" s="185">
        <v>1569932.3870000001</v>
      </c>
      <c r="D13" s="129">
        <v>100</v>
      </c>
      <c r="E13" s="273"/>
      <c r="F13" s="273"/>
      <c r="G13" s="273"/>
      <c r="H13" s="273"/>
      <c r="I13" s="273"/>
      <c r="J13" s="273"/>
      <c r="K13" s="273"/>
    </row>
    <row r="14" spans="1:11" ht="15.75">
      <c r="A14" s="121">
        <v>2022</v>
      </c>
      <c r="B14" s="185">
        <v>1680174.2520000001</v>
      </c>
      <c r="C14" s="185">
        <v>1680174.2520000001</v>
      </c>
      <c r="D14" s="129">
        <v>100</v>
      </c>
      <c r="E14" s="273"/>
      <c r="F14" s="273"/>
      <c r="G14" s="273"/>
      <c r="H14" s="273"/>
      <c r="I14" s="273"/>
      <c r="J14" s="273"/>
      <c r="K14" s="273"/>
    </row>
    <row r="15" spans="1:11" ht="20.25" customHeight="1">
      <c r="A15" s="120" t="s">
        <v>314</v>
      </c>
      <c r="B15" s="186">
        <f>GETPIVOTDATA("Presupuesto Reprogramado
(Recursos Fiscales)",$A$8,"entidad","Oficinas Nacionales","Año",2022)-GETPIVOTDATA("Presupuesto Reprogramado
(Recursos Fiscales)",$A$8,"entidad","Oficinas Nacionales","Año",2021)</f>
        <v>110241.86499999999</v>
      </c>
      <c r="C15" s="186">
        <f>GETPIVOTDATA("Presupuesto Ejercido (Recursos Fiscales)",$A$8,"entidad","Oficinas Nacionales","Año",2022)-GETPIVOTDATA("Presupuesto Ejercido (Recursos Fiscales)",$A$8,"entidad","Oficinas Nacionales","Año",2021)</f>
        <v>110241.86499999999</v>
      </c>
      <c r="D15" s="119">
        <f>GETPIVOTDATA("Evolución del Presupuesto Reprogramado
(Recursos fiscales)",$A$8,"entidad","Oficinas Nacionales","Año",2022)-GETPIVOTDATA("Evolución del Presupuesto Reprogramado
(Recursos fiscales)",$A$8,"entidad","Oficinas Nacionales","Año",2021)</f>
        <v>0</v>
      </c>
      <c r="E15" s="273"/>
      <c r="F15" s="273"/>
      <c r="G15" s="273"/>
      <c r="H15" s="273"/>
      <c r="I15" s="273"/>
      <c r="J15" s="273"/>
      <c r="K15" s="273"/>
    </row>
    <row r="16" spans="1:11" ht="15">
      <c r="A16" s="273"/>
      <c r="B16" s="273"/>
      <c r="C16" s="273"/>
      <c r="D16" s="273"/>
      <c r="E16" s="273"/>
      <c r="F16" s="273"/>
      <c r="G16" s="273"/>
      <c r="H16" s="273"/>
      <c r="I16" s="273"/>
      <c r="J16" s="273"/>
      <c r="K16" s="273"/>
    </row>
    <row r="17" spans="1:11" ht="17.25" customHeight="1">
      <c r="A17" s="273" t="str">
        <f>A8</f>
        <v>Año</v>
      </c>
      <c r="B17" s="273" t="str">
        <f>B8</f>
        <v>Presupuesto Reprogramado
(Recursos Fiscales)</v>
      </c>
      <c r="C17" s="273" t="str">
        <f>C8</f>
        <v>Presupuesto Ejercido (Recursos Fiscales)</v>
      </c>
      <c r="D17" s="127" t="str">
        <f>D8</f>
        <v>Evolución del Presupuesto Reprogramado
(Recursos fiscales)</v>
      </c>
      <c r="E17" s="273"/>
      <c r="F17" s="273"/>
      <c r="G17" s="273"/>
      <c r="H17" s="273"/>
      <c r="I17" s="273"/>
      <c r="J17" s="273"/>
      <c r="K17" s="273"/>
    </row>
    <row r="18" spans="1:11" ht="15">
      <c r="A18" s="273">
        <f t="shared" ref="A18:D22" si="0">A10</f>
        <v>2018</v>
      </c>
      <c r="B18" s="273">
        <f t="shared" si="0"/>
        <v>1528166.3060000001</v>
      </c>
      <c r="C18" s="273">
        <f t="shared" si="0"/>
        <v>1528166.3060000001</v>
      </c>
      <c r="D18" s="273">
        <f t="shared" si="0"/>
        <v>100</v>
      </c>
      <c r="E18" s="273"/>
      <c r="F18" s="273"/>
      <c r="G18" s="273"/>
      <c r="H18" s="273"/>
      <c r="I18" s="273"/>
      <c r="J18" s="273"/>
      <c r="K18" s="273"/>
    </row>
    <row r="19" spans="1:11" ht="15">
      <c r="A19" s="273">
        <f t="shared" si="0"/>
        <v>2019</v>
      </c>
      <c r="B19" s="273">
        <f t="shared" si="0"/>
        <v>1463719.9280000001</v>
      </c>
      <c r="C19" s="273">
        <f t="shared" si="0"/>
        <v>1463719.9280000001</v>
      </c>
      <c r="D19" s="273">
        <f t="shared" si="0"/>
        <v>100</v>
      </c>
      <c r="E19" s="273"/>
      <c r="F19" s="273"/>
      <c r="G19" s="273"/>
      <c r="H19" s="273"/>
      <c r="I19" s="273"/>
      <c r="J19" s="273"/>
      <c r="K19" s="273"/>
    </row>
    <row r="20" spans="1:11" ht="15">
      <c r="A20" s="273">
        <f t="shared" si="0"/>
        <v>2020</v>
      </c>
      <c r="B20" s="273">
        <f t="shared" si="0"/>
        <v>1388683.6850000001</v>
      </c>
      <c r="C20" s="273">
        <f t="shared" si="0"/>
        <v>1388683.6850000001</v>
      </c>
      <c r="D20" s="273">
        <f t="shared" si="0"/>
        <v>100</v>
      </c>
      <c r="E20" s="273"/>
      <c r="F20" s="273"/>
      <c r="G20" s="273"/>
      <c r="H20" s="273"/>
      <c r="I20" s="273"/>
      <c r="J20" s="273"/>
      <c r="K20" s="273"/>
    </row>
    <row r="21" spans="1:11" ht="15">
      <c r="A21" s="273">
        <f t="shared" si="0"/>
        <v>2021</v>
      </c>
      <c r="B21" s="273">
        <f t="shared" si="0"/>
        <v>1569932.3870000001</v>
      </c>
      <c r="C21" s="273">
        <f t="shared" si="0"/>
        <v>1569932.3870000001</v>
      </c>
      <c r="D21" s="273">
        <f t="shared" si="0"/>
        <v>100</v>
      </c>
      <c r="E21" s="273"/>
      <c r="F21" s="273"/>
      <c r="G21" s="273"/>
      <c r="H21" s="273"/>
      <c r="I21" s="273"/>
      <c r="J21" s="273"/>
      <c r="K21" s="273"/>
    </row>
    <row r="22" spans="1:11" ht="15">
      <c r="A22" s="273">
        <f t="shared" si="0"/>
        <v>2022</v>
      </c>
      <c r="B22" s="273">
        <f t="shared" si="0"/>
        <v>1680174.2520000001</v>
      </c>
      <c r="C22" s="273">
        <f t="shared" si="0"/>
        <v>1680174.2520000001</v>
      </c>
      <c r="D22" s="273">
        <f t="shared" si="0"/>
        <v>100</v>
      </c>
      <c r="E22" s="273"/>
      <c r="F22" s="273"/>
      <c r="G22" s="273"/>
      <c r="H22" s="273"/>
      <c r="I22" s="273"/>
      <c r="J22" s="273"/>
      <c r="K22" s="273"/>
    </row>
    <row r="23" spans="1:11" ht="15">
      <c r="A23" s="273" t="e">
        <f>#REF!</f>
        <v>#REF!</v>
      </c>
      <c r="B23" s="273" t="e">
        <f>#REF!</f>
        <v>#REF!</v>
      </c>
      <c r="C23" s="273" t="e">
        <f>#REF!</f>
        <v>#REF!</v>
      </c>
      <c r="D23" s="273" t="e">
        <f>#REF!</f>
        <v>#REF!</v>
      </c>
      <c r="E23" s="273"/>
      <c r="F23" s="273"/>
      <c r="G23" s="273"/>
      <c r="H23" s="273"/>
      <c r="I23" s="273"/>
      <c r="J23" s="273"/>
      <c r="K23" s="273"/>
    </row>
    <row r="24" spans="1:11" ht="15">
      <c r="A24" s="273" t="e">
        <f>#REF!</f>
        <v>#REF!</v>
      </c>
      <c r="B24" s="273" t="e">
        <f>#REF!</f>
        <v>#REF!</v>
      </c>
      <c r="C24" s="273" t="e">
        <f>#REF!</f>
        <v>#REF!</v>
      </c>
      <c r="D24" s="273" t="e">
        <f>#REF!</f>
        <v>#REF!</v>
      </c>
      <c r="E24" s="273"/>
      <c r="F24" s="273"/>
      <c r="G24" s="273"/>
      <c r="H24" s="273"/>
      <c r="I24" s="273"/>
      <c r="J24" s="273"/>
      <c r="K24" s="273"/>
    </row>
    <row r="25" spans="1:11" ht="15">
      <c r="A25" s="273" t="e">
        <f>#REF!</f>
        <v>#REF!</v>
      </c>
      <c r="B25" s="273" t="e">
        <f>#REF!</f>
        <v>#REF!</v>
      </c>
      <c r="C25" s="273" t="e">
        <f>#REF!</f>
        <v>#REF!</v>
      </c>
      <c r="D25" s="273" t="e">
        <f>#REF!</f>
        <v>#REF!</v>
      </c>
      <c r="E25" s="273"/>
      <c r="F25" s="273"/>
      <c r="G25" s="273"/>
      <c r="H25" s="273"/>
      <c r="I25" s="273"/>
      <c r="J25" s="273"/>
      <c r="K25" s="273"/>
    </row>
    <row r="26" spans="1:11" ht="15">
      <c r="A26" s="273"/>
      <c r="B26" s="273"/>
      <c r="C26" s="273"/>
      <c r="D26" s="273"/>
      <c r="E26" s="273"/>
      <c r="F26" s="273"/>
      <c r="G26" s="273"/>
      <c r="H26" s="273"/>
      <c r="I26" s="273"/>
      <c r="J26" s="273"/>
      <c r="K26" s="273"/>
    </row>
    <row r="27" spans="1:11" ht="15">
      <c r="A27" s="273"/>
      <c r="B27" s="273"/>
      <c r="C27" s="273"/>
      <c r="D27" s="273"/>
      <c r="E27" s="273"/>
      <c r="F27" s="273"/>
      <c r="G27" s="273"/>
      <c r="H27" s="273"/>
      <c r="I27" s="273"/>
      <c r="J27" s="273"/>
      <c r="K27" s="273"/>
    </row>
    <row r="28" spans="1:11" ht="15">
      <c r="A28" s="273"/>
      <c r="B28" s="273"/>
      <c r="C28" s="273"/>
      <c r="D28" s="273"/>
      <c r="E28" s="273"/>
      <c r="F28" s="273"/>
      <c r="G28" s="273"/>
      <c r="H28" s="273"/>
      <c r="I28" s="273"/>
      <c r="J28" s="273"/>
      <c r="K28" s="273"/>
    </row>
    <row r="29" spans="1:11" ht="15">
      <c r="A29" s="273"/>
      <c r="B29" s="273"/>
      <c r="C29" s="273"/>
      <c r="D29" s="273"/>
      <c r="E29" s="273"/>
      <c r="F29" s="273"/>
      <c r="G29" s="273"/>
      <c r="H29" s="273"/>
      <c r="I29" s="273"/>
      <c r="J29" s="273"/>
      <c r="K29" s="273"/>
    </row>
    <row r="30" spans="1:11" ht="15">
      <c r="A30" s="273"/>
      <c r="B30" s="273"/>
      <c r="C30" s="273"/>
      <c r="D30" s="273"/>
      <c r="E30" s="273"/>
      <c r="F30" s="273"/>
      <c r="G30" s="273"/>
      <c r="H30" s="273"/>
      <c r="I30" s="273"/>
      <c r="J30" s="273"/>
      <c r="K30" s="273"/>
    </row>
    <row r="31" spans="1:11" ht="15">
      <c r="A31" s="273"/>
      <c r="B31" s="273"/>
      <c r="C31" s="273"/>
      <c r="D31" s="273"/>
      <c r="E31" s="273"/>
      <c r="F31" s="273"/>
      <c r="G31" s="273"/>
      <c r="H31" s="273"/>
      <c r="I31" s="273"/>
      <c r="J31" s="273"/>
      <c r="K31" s="273"/>
    </row>
    <row r="32" spans="1:11" ht="15">
      <c r="A32" s="273"/>
      <c r="B32" s="273"/>
      <c r="C32" s="273"/>
      <c r="D32" s="273"/>
      <c r="E32" s="273"/>
      <c r="F32" s="273"/>
      <c r="G32" s="273"/>
      <c r="H32" s="273"/>
      <c r="I32" s="273"/>
      <c r="J32" s="273"/>
      <c r="K32" s="273"/>
    </row>
    <row r="33" spans="1:11" ht="15">
      <c r="A33" s="273"/>
      <c r="B33" s="273"/>
      <c r="C33" s="273"/>
      <c r="D33" s="273"/>
      <c r="E33" s="273"/>
      <c r="F33" s="273"/>
      <c r="G33" s="273"/>
      <c r="H33" s="273"/>
      <c r="I33" s="273"/>
      <c r="J33" s="273"/>
      <c r="K33" s="273"/>
    </row>
    <row r="34" spans="1:11" ht="15">
      <c r="A34" s="273"/>
      <c r="B34" s="273"/>
      <c r="C34" s="273"/>
      <c r="D34" s="273"/>
      <c r="E34" s="273"/>
      <c r="F34" s="273"/>
      <c r="G34" s="273"/>
      <c r="H34" s="273"/>
      <c r="I34" s="273"/>
      <c r="J34" s="273"/>
      <c r="K34" s="273"/>
    </row>
    <row r="35" spans="1:11" ht="12" customHeight="1">
      <c r="A35" s="273"/>
      <c r="B35" s="273"/>
      <c r="C35" s="273"/>
      <c r="D35" s="273"/>
      <c r="E35" s="273"/>
      <c r="F35" s="273"/>
      <c r="G35" s="273"/>
      <c r="H35" s="273"/>
      <c r="I35" s="273"/>
      <c r="J35" s="273"/>
      <c r="K35" s="273"/>
    </row>
    <row r="36" spans="1:11" ht="12" customHeight="1">
      <c r="A36" s="273"/>
      <c r="B36" s="273"/>
      <c r="C36" s="273"/>
      <c r="D36" s="273"/>
      <c r="E36" s="273"/>
      <c r="F36" s="273"/>
      <c r="G36" s="273"/>
      <c r="H36" s="273"/>
      <c r="I36" s="273"/>
      <c r="J36" s="273"/>
      <c r="K36" s="273"/>
    </row>
    <row r="37" spans="1:11" ht="12" customHeight="1">
      <c r="A37" s="273"/>
      <c r="B37" s="273"/>
      <c r="C37" s="273"/>
      <c r="D37" s="273"/>
      <c r="E37" s="273"/>
      <c r="F37" s="273"/>
      <c r="G37" s="273"/>
      <c r="H37" s="273"/>
      <c r="I37" s="273"/>
      <c r="J37" s="273"/>
      <c r="K37" s="273"/>
    </row>
    <row r="38" spans="1:11" ht="12" customHeight="1">
      <c r="A38" s="273"/>
      <c r="B38" s="273"/>
      <c r="C38" s="273"/>
      <c r="D38" s="273"/>
      <c r="E38" s="273"/>
      <c r="F38" s="273"/>
      <c r="G38" s="273"/>
      <c r="H38" s="273"/>
      <c r="I38" s="273"/>
      <c r="J38" s="273"/>
      <c r="K38" s="273"/>
    </row>
    <row r="39" spans="1:11" ht="12" customHeight="1">
      <c r="A39" s="273"/>
      <c r="B39" s="273"/>
      <c r="C39" s="273"/>
      <c r="D39" s="273"/>
      <c r="E39" s="273"/>
      <c r="F39" s="273"/>
      <c r="G39" s="273"/>
      <c r="H39" s="273"/>
      <c r="I39" s="273"/>
      <c r="J39" s="273"/>
      <c r="K39" s="273"/>
    </row>
    <row r="40" spans="1:11" ht="15" hidden="1">
      <c r="A40" s="273"/>
      <c r="B40" s="273"/>
      <c r="C40" s="273"/>
      <c r="D40" s="273"/>
      <c r="E40" s="273"/>
      <c r="F40" s="273"/>
      <c r="G40" s="273"/>
      <c r="H40" s="273"/>
      <c r="I40" s="273"/>
      <c r="J40" s="273"/>
      <c r="K40" s="273"/>
    </row>
    <row r="41" spans="1:11" ht="15" hidden="1">
      <c r="A41" s="273"/>
      <c r="B41" s="273"/>
      <c r="C41" s="273"/>
      <c r="D41" s="273"/>
      <c r="E41" s="273"/>
      <c r="F41" s="273"/>
      <c r="G41" s="273"/>
      <c r="H41" s="273"/>
      <c r="I41" s="273"/>
      <c r="J41" s="273"/>
      <c r="K41" s="273"/>
    </row>
    <row r="42" spans="1:11" ht="15" hidden="1">
      <c r="A42" s="273"/>
      <c r="B42" s="273"/>
      <c r="C42" s="273"/>
      <c r="D42" s="273"/>
    </row>
    <row r="43" spans="1:11" ht="15" hidden="1">
      <c r="A43" s="273"/>
      <c r="B43" s="273"/>
      <c r="C43" s="273"/>
      <c r="D43" s="273"/>
    </row>
    <row r="44" spans="1:11" ht="9" customHeight="1">
      <c r="A44" s="273"/>
      <c r="B44" s="273"/>
      <c r="C44" s="273"/>
      <c r="D44" s="273"/>
    </row>
    <row r="45" spans="1:11" ht="18.75" customHeight="1">
      <c r="A45" s="201" t="s">
        <v>202</v>
      </c>
      <c r="B45" s="85"/>
      <c r="C45" s="85"/>
      <c r="D45" s="85"/>
    </row>
  </sheetData>
  <mergeCells count="1">
    <mergeCell ref="B7:D7"/>
  </mergeCells>
  <pageMargins left="0.51181102362204722" right="0.51181102362204722" top="1.1417322834645669" bottom="0.55118110236220474" header="0.31496062992125984" footer="0.31496062992125984"/>
  <pageSetup paperSize="9" scale="99"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5"/>
  <sheetViews>
    <sheetView showGridLines="0" view="pageBreakPreview" topLeftCell="A19" zoomScale="60" zoomScaleNormal="100" workbookViewId="0">
      <selection activeCell="L39" sqref="L39"/>
    </sheetView>
  </sheetViews>
  <sheetFormatPr baseColWidth="10" defaultColWidth="11.42578125" defaultRowHeight="13.5"/>
  <cols>
    <col min="1" max="1" width="23.42578125" style="48" customWidth="1"/>
    <col min="2" max="4" width="23.140625" style="48" customWidth="1"/>
    <col min="5" max="5" width="11.5703125" style="48" bestFit="1" customWidth="1"/>
    <col min="6" max="6" width="15.140625" style="48" bestFit="1"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11" s="273" customFormat="1" ht="15" customHeight="1">
      <c r="B1" s="1"/>
      <c r="C1" s="1"/>
      <c r="D1" s="64" t="s">
        <v>48</v>
      </c>
    </row>
    <row r="2" spans="1:11" s="273" customFormat="1" ht="15" customHeight="1">
      <c r="B2" s="1"/>
      <c r="C2" s="1"/>
      <c r="D2" s="6" t="s">
        <v>42</v>
      </c>
    </row>
    <row r="3" spans="1:11" s="273" customFormat="1" ht="15" customHeight="1">
      <c r="B3" s="1"/>
      <c r="C3" s="1"/>
      <c r="D3" s="1"/>
    </row>
    <row r="4" spans="1:11" s="273" customFormat="1" ht="12.75" customHeight="1">
      <c r="B4" s="1"/>
      <c r="C4" s="1"/>
      <c r="D4" s="1"/>
    </row>
    <row r="5" spans="1:11" s="273" customFormat="1" ht="23.25" customHeight="1">
      <c r="A5" s="81" t="s">
        <v>211</v>
      </c>
      <c r="B5" s="81"/>
      <c r="C5" s="81"/>
      <c r="D5" s="81"/>
    </row>
    <row r="6" spans="1:11" s="273" customFormat="1" ht="25.5" customHeight="1">
      <c r="A6" s="117" t="s">
        <v>198</v>
      </c>
      <c r="C6" s="65"/>
      <c r="D6" s="65"/>
    </row>
    <row r="7" spans="1:11" s="273" customFormat="1" ht="12.75" customHeight="1">
      <c r="A7" s="71"/>
      <c r="B7" s="365"/>
      <c r="C7" s="365"/>
      <c r="D7" s="365"/>
    </row>
    <row r="8" spans="1:11" s="125" customFormat="1" ht="45">
      <c r="A8" s="286" t="s">
        <v>45</v>
      </c>
      <c r="B8" s="128" t="s">
        <v>214</v>
      </c>
      <c r="C8" s="128" t="s">
        <v>212</v>
      </c>
      <c r="D8" s="128" t="s">
        <v>213</v>
      </c>
      <c r="E8" s="126"/>
      <c r="F8" s="124"/>
      <c r="G8" s="124"/>
      <c r="H8" s="124"/>
      <c r="I8" s="124"/>
      <c r="J8" s="124"/>
      <c r="K8" s="124"/>
    </row>
    <row r="9" spans="1:11" ht="15.75" hidden="1">
      <c r="A9" s="111" t="s">
        <v>39</v>
      </c>
      <c r="B9" s="118"/>
      <c r="C9" s="118"/>
      <c r="D9" s="123"/>
      <c r="E9" s="273"/>
      <c r="F9" s="273"/>
      <c r="G9" s="273"/>
      <c r="H9" s="273"/>
      <c r="I9" s="273"/>
      <c r="J9" s="273"/>
      <c r="K9" s="273"/>
    </row>
    <row r="10" spans="1:11" ht="15.75">
      <c r="A10" s="121">
        <v>2018</v>
      </c>
      <c r="B10" s="185">
        <v>1579519.281</v>
      </c>
      <c r="C10" s="185">
        <v>1574833.44</v>
      </c>
      <c r="D10" s="123">
        <v>99.70333752450091</v>
      </c>
      <c r="E10" s="273"/>
      <c r="F10" s="273"/>
      <c r="G10" s="273"/>
      <c r="H10" s="273"/>
      <c r="I10" s="273"/>
      <c r="J10" s="273"/>
      <c r="K10" s="273"/>
    </row>
    <row r="11" spans="1:11" ht="15.75">
      <c r="A11" s="121">
        <v>2019</v>
      </c>
      <c r="B11" s="185">
        <v>1512199.0530000001</v>
      </c>
      <c r="C11" s="185">
        <v>1510986.557</v>
      </c>
      <c r="D11" s="123">
        <v>99.919819021338853</v>
      </c>
      <c r="E11" s="273"/>
      <c r="F11" s="273"/>
      <c r="G11" s="273"/>
      <c r="H11" s="273"/>
      <c r="I11" s="273"/>
      <c r="J11" s="273"/>
      <c r="K11" s="273"/>
    </row>
    <row r="12" spans="1:11" ht="15.75">
      <c r="A12" s="121">
        <v>2020</v>
      </c>
      <c r="B12" s="185">
        <v>1457643.3670000001</v>
      </c>
      <c r="C12" s="185">
        <v>1422248.821</v>
      </c>
      <c r="D12" s="123">
        <v>97.571796586098685</v>
      </c>
      <c r="E12" s="273"/>
      <c r="F12" s="273"/>
      <c r="G12" s="273"/>
      <c r="H12" s="273"/>
      <c r="I12" s="273"/>
      <c r="J12" s="273"/>
      <c r="K12" s="273"/>
    </row>
    <row r="13" spans="1:11" ht="15.75">
      <c r="A13" s="121">
        <v>2021</v>
      </c>
      <c r="B13" s="185">
        <v>1609932.3870000001</v>
      </c>
      <c r="C13" s="185">
        <v>1597687.4310000001</v>
      </c>
      <c r="D13" s="123">
        <v>99.239411785309954</v>
      </c>
      <c r="E13" s="273"/>
      <c r="F13" s="273"/>
      <c r="G13" s="273"/>
      <c r="H13" s="273"/>
      <c r="I13" s="273"/>
      <c r="J13" s="273"/>
      <c r="K13" s="273"/>
    </row>
    <row r="14" spans="1:11" ht="15.75">
      <c r="A14" s="121">
        <v>2022</v>
      </c>
      <c r="B14" s="185">
        <v>1725174.2520000001</v>
      </c>
      <c r="C14" s="185">
        <v>1716208.933</v>
      </c>
      <c r="D14" s="123">
        <v>99.480323857743258</v>
      </c>
      <c r="E14" s="273"/>
      <c r="F14" s="273"/>
      <c r="G14" s="273"/>
      <c r="H14" s="273"/>
      <c r="I14" s="273"/>
      <c r="J14" s="273"/>
      <c r="K14" s="273"/>
    </row>
    <row r="15" spans="1:11" ht="20.25" customHeight="1">
      <c r="A15" s="120" t="s">
        <v>314</v>
      </c>
      <c r="B15" s="187">
        <f>GETPIVOTDATA("Presupuesto Reprogramado
(Gasto Corriente)",$A$8,"entidad","Oficinas Nacionales","Año",2022)-GETPIVOTDATA("Presupuesto Reprogramado
(Gasto Corriente)",$A$8,"entidad","Oficinas Nacionales","Año",2021)</f>
        <v>115241.86499999999</v>
      </c>
      <c r="C15" s="187">
        <f>GETPIVOTDATA("Presupuesto Ejercido (Gasto Corriente)",$A$8,"entidad","Oficinas Nacionales","Año",2022)-GETPIVOTDATA("Presupuesto Ejercido (Gasto Corriente)",$A$8,"entidad","Oficinas Nacionales","Año",2021)</f>
        <v>118521.50199999986</v>
      </c>
      <c r="D15" s="119">
        <f>GETPIVOTDATA("Evolución del Gasto Corriente ",$A$8,"entidad","Oficinas Nacionales","Año",2022)-GETPIVOTDATA("Evolución del Gasto Corriente ",$A$8,"entidad","Oficinas Nacionales","Año",2021)</f>
        <v>0.24091207243330359</v>
      </c>
      <c r="E15" s="273"/>
      <c r="F15" s="273"/>
      <c r="G15" s="273"/>
      <c r="H15" s="273"/>
      <c r="I15" s="273"/>
      <c r="J15" s="273"/>
      <c r="K15" s="273"/>
    </row>
    <row r="16" spans="1:11" ht="15">
      <c r="A16" s="273"/>
      <c r="B16" s="273"/>
      <c r="C16" s="273"/>
      <c r="D16" s="273"/>
      <c r="E16" s="273"/>
      <c r="F16" s="273"/>
      <c r="G16" s="273"/>
      <c r="H16" s="273"/>
      <c r="I16" s="273"/>
      <c r="J16" s="273"/>
      <c r="K16" s="273"/>
    </row>
    <row r="17" spans="1:11" ht="17.25" customHeight="1">
      <c r="A17" s="273" t="str">
        <f>A8</f>
        <v>Año</v>
      </c>
      <c r="B17" s="273" t="str">
        <f>B8</f>
        <v>Presupuesto Reprogramado
(Gasto Corriente)</v>
      </c>
      <c r="C17" s="273" t="str">
        <f>C8</f>
        <v>Presupuesto Ejercido (Gasto Corriente)</v>
      </c>
      <c r="D17" s="127" t="str">
        <f>D8</f>
        <v xml:space="preserve">Evolución del Gasto Corriente </v>
      </c>
      <c r="E17" s="273"/>
      <c r="F17" s="273"/>
      <c r="G17" s="273"/>
      <c r="H17" s="273"/>
      <c r="I17" s="273"/>
      <c r="J17" s="273"/>
      <c r="K17" s="273"/>
    </row>
    <row r="18" spans="1:11" ht="15">
      <c r="A18" s="273">
        <f t="shared" ref="A18:D22" si="0">A10</f>
        <v>2018</v>
      </c>
      <c r="B18" s="273">
        <f t="shared" si="0"/>
        <v>1579519.281</v>
      </c>
      <c r="C18" s="273">
        <f t="shared" si="0"/>
        <v>1574833.44</v>
      </c>
      <c r="D18" s="273">
        <f t="shared" si="0"/>
        <v>99.70333752450091</v>
      </c>
      <c r="E18" s="273"/>
      <c r="F18" s="273"/>
      <c r="G18" s="273"/>
      <c r="H18" s="273"/>
      <c r="I18" s="273"/>
      <c r="J18" s="273"/>
      <c r="K18" s="273"/>
    </row>
    <row r="19" spans="1:11" ht="15">
      <c r="A19" s="273">
        <f t="shared" si="0"/>
        <v>2019</v>
      </c>
      <c r="B19" s="273">
        <f t="shared" si="0"/>
        <v>1512199.0530000001</v>
      </c>
      <c r="C19" s="273">
        <f t="shared" si="0"/>
        <v>1510986.557</v>
      </c>
      <c r="D19" s="273">
        <f t="shared" si="0"/>
        <v>99.919819021338853</v>
      </c>
      <c r="E19" s="273"/>
      <c r="F19" s="273"/>
      <c r="G19" s="273"/>
      <c r="H19" s="273"/>
      <c r="I19" s="273"/>
      <c r="J19" s="273"/>
      <c r="K19" s="273"/>
    </row>
    <row r="20" spans="1:11" ht="15">
      <c r="A20" s="273">
        <f t="shared" si="0"/>
        <v>2020</v>
      </c>
      <c r="B20" s="273">
        <f t="shared" si="0"/>
        <v>1457643.3670000001</v>
      </c>
      <c r="C20" s="273">
        <f t="shared" si="0"/>
        <v>1422248.821</v>
      </c>
      <c r="D20" s="273">
        <f t="shared" si="0"/>
        <v>97.571796586098685</v>
      </c>
      <c r="E20" s="273"/>
      <c r="F20" s="273"/>
      <c r="G20" s="273"/>
      <c r="H20" s="273"/>
      <c r="I20" s="273"/>
      <c r="J20" s="273"/>
      <c r="K20" s="273"/>
    </row>
    <row r="21" spans="1:11" ht="15">
      <c r="A21" s="273">
        <f t="shared" si="0"/>
        <v>2021</v>
      </c>
      <c r="B21" s="273">
        <f t="shared" si="0"/>
        <v>1609932.3870000001</v>
      </c>
      <c r="C21" s="273">
        <f t="shared" si="0"/>
        <v>1597687.4310000001</v>
      </c>
      <c r="D21" s="273">
        <f t="shared" si="0"/>
        <v>99.239411785309954</v>
      </c>
      <c r="E21" s="273"/>
      <c r="F21" s="273"/>
      <c r="G21" s="273"/>
      <c r="H21" s="273"/>
      <c r="I21" s="273"/>
      <c r="J21" s="273"/>
      <c r="K21" s="273"/>
    </row>
    <row r="22" spans="1:11" ht="15">
      <c r="A22" s="273">
        <f t="shared" si="0"/>
        <v>2022</v>
      </c>
      <c r="B22" s="273">
        <f t="shared" si="0"/>
        <v>1725174.2520000001</v>
      </c>
      <c r="C22" s="273">
        <f t="shared" si="0"/>
        <v>1716208.933</v>
      </c>
      <c r="D22" s="273">
        <f t="shared" si="0"/>
        <v>99.480323857743258</v>
      </c>
      <c r="E22" s="273"/>
      <c r="F22" s="273"/>
      <c r="G22" s="273"/>
      <c r="H22" s="273"/>
      <c r="I22" s="273"/>
      <c r="J22" s="273"/>
      <c r="K22" s="273"/>
    </row>
    <row r="23" spans="1:11" ht="15">
      <c r="A23" s="273" t="e">
        <f>#REF!</f>
        <v>#REF!</v>
      </c>
      <c r="B23" s="273" t="e">
        <f>#REF!</f>
        <v>#REF!</v>
      </c>
      <c r="C23" s="273" t="e">
        <f>#REF!</f>
        <v>#REF!</v>
      </c>
      <c r="D23" s="273" t="e">
        <f>#REF!</f>
        <v>#REF!</v>
      </c>
      <c r="E23" s="273"/>
      <c r="F23" s="273"/>
      <c r="G23" s="273"/>
      <c r="H23" s="273"/>
      <c r="I23" s="273"/>
      <c r="J23" s="273"/>
      <c r="K23" s="273"/>
    </row>
    <row r="24" spans="1:11" ht="15">
      <c r="A24" s="273" t="e">
        <f>#REF!</f>
        <v>#REF!</v>
      </c>
      <c r="B24" s="273" t="e">
        <f>#REF!</f>
        <v>#REF!</v>
      </c>
      <c r="C24" s="273" t="e">
        <f>#REF!</f>
        <v>#REF!</v>
      </c>
      <c r="D24" s="273" t="e">
        <f>#REF!</f>
        <v>#REF!</v>
      </c>
      <c r="E24" s="273"/>
      <c r="F24" s="273"/>
      <c r="G24" s="273"/>
      <c r="H24" s="273"/>
      <c r="I24" s="273"/>
      <c r="J24" s="273"/>
      <c r="K24" s="273"/>
    </row>
    <row r="25" spans="1:11" ht="15">
      <c r="A25" s="273">
        <v>2020</v>
      </c>
      <c r="B25" s="273">
        <f>GETPIVOTDATA("Presupuesto Reprogramado
(Gasto Corriente)",$A$8,"entidad","Oficinas Nacionales","Año",2020)</f>
        <v>1457643.3670000001</v>
      </c>
      <c r="C25" s="273">
        <f>GETPIVOTDATA("Presupuesto Ejercido (Gasto Corriente)",$A$8,"entidad","Oficinas Nacionales","Año",2020)</f>
        <v>1422248.821</v>
      </c>
      <c r="D25" s="273">
        <f>GETPIVOTDATA("Evolución del Gasto Corriente ",$A$8,"entidad","Oficinas Nacionales","Año",2020)</f>
        <v>97.571796586098685</v>
      </c>
      <c r="E25" s="273"/>
      <c r="F25" s="273"/>
      <c r="G25" s="273"/>
      <c r="H25" s="273"/>
      <c r="I25" s="273"/>
      <c r="J25" s="273"/>
      <c r="K25" s="273"/>
    </row>
    <row r="26" spans="1:11" ht="15">
      <c r="A26" s="273"/>
      <c r="B26" s="273"/>
      <c r="C26" s="273"/>
      <c r="D26" s="273"/>
      <c r="E26" s="273"/>
      <c r="F26" s="273"/>
      <c r="G26" s="273"/>
      <c r="H26" s="273"/>
      <c r="I26" s="273"/>
      <c r="J26" s="273"/>
      <c r="K26" s="273"/>
    </row>
    <row r="27" spans="1:11" ht="15">
      <c r="A27" s="273"/>
      <c r="B27" s="273"/>
      <c r="C27" s="273"/>
      <c r="D27" s="273"/>
      <c r="E27" s="273"/>
      <c r="F27" s="273"/>
      <c r="G27" s="273"/>
      <c r="H27" s="273"/>
      <c r="I27" s="273"/>
      <c r="J27" s="273"/>
      <c r="K27" s="273"/>
    </row>
    <row r="28" spans="1:11" ht="15">
      <c r="A28" s="273"/>
      <c r="B28" s="273"/>
      <c r="C28" s="273"/>
      <c r="D28" s="273"/>
      <c r="E28" s="273"/>
      <c r="F28" s="273"/>
      <c r="G28" s="273"/>
      <c r="H28" s="273"/>
      <c r="I28" s="273"/>
      <c r="J28" s="273"/>
      <c r="K28" s="273"/>
    </row>
    <row r="29" spans="1:11" ht="15">
      <c r="A29" s="273"/>
      <c r="B29" s="273"/>
      <c r="C29" s="273"/>
      <c r="D29" s="273"/>
      <c r="E29" s="273"/>
      <c r="F29" s="273"/>
      <c r="G29" s="273"/>
      <c r="H29" s="273"/>
      <c r="I29" s="273"/>
      <c r="J29" s="273"/>
      <c r="K29" s="273"/>
    </row>
    <row r="30" spans="1:11" ht="15">
      <c r="A30" s="273"/>
      <c r="B30" s="273"/>
      <c r="C30" s="273"/>
      <c r="D30" s="273"/>
      <c r="E30" s="273"/>
      <c r="F30" s="273"/>
      <c r="G30" s="273"/>
      <c r="H30" s="273"/>
      <c r="I30" s="273"/>
      <c r="J30" s="273"/>
      <c r="K30" s="273"/>
    </row>
    <row r="31" spans="1:11" ht="15">
      <c r="A31" s="273"/>
      <c r="B31" s="273"/>
      <c r="C31" s="273"/>
      <c r="D31" s="273"/>
      <c r="E31" s="273"/>
      <c r="F31" s="273"/>
      <c r="G31" s="273"/>
      <c r="H31" s="273"/>
      <c r="I31" s="273"/>
      <c r="J31" s="273"/>
      <c r="K31" s="273"/>
    </row>
    <row r="32" spans="1:11" ht="15">
      <c r="A32" s="273"/>
      <c r="B32" s="273"/>
      <c r="C32" s="273"/>
      <c r="D32" s="273"/>
      <c r="E32" s="273"/>
      <c r="F32" s="273"/>
      <c r="G32" s="273"/>
      <c r="H32" s="273"/>
      <c r="I32" s="273"/>
      <c r="J32" s="273"/>
      <c r="K32" s="273"/>
    </row>
    <row r="33" spans="1:11" ht="15">
      <c r="A33" s="273"/>
      <c r="B33" s="273"/>
      <c r="C33" s="273"/>
      <c r="D33" s="273"/>
      <c r="E33" s="273"/>
      <c r="F33" s="273"/>
      <c r="G33" s="273"/>
      <c r="H33" s="273"/>
      <c r="I33" s="273"/>
      <c r="J33" s="273"/>
      <c r="K33" s="273"/>
    </row>
    <row r="34" spans="1:11" ht="15">
      <c r="A34" s="273"/>
      <c r="B34" s="273"/>
      <c r="C34" s="273"/>
      <c r="D34" s="273"/>
      <c r="E34" s="273"/>
      <c r="F34" s="273"/>
      <c r="G34" s="273"/>
      <c r="H34" s="273"/>
      <c r="I34" s="273"/>
      <c r="J34" s="273"/>
      <c r="K34" s="273"/>
    </row>
    <row r="35" spans="1:11" ht="15">
      <c r="A35" s="273"/>
      <c r="B35" s="273"/>
      <c r="C35" s="273"/>
      <c r="D35" s="273"/>
      <c r="E35" s="273"/>
      <c r="F35" s="273"/>
      <c r="G35" s="273"/>
      <c r="H35" s="273"/>
      <c r="I35" s="273"/>
      <c r="J35" s="273"/>
      <c r="K35" s="273"/>
    </row>
    <row r="36" spans="1:11" ht="15">
      <c r="A36" s="273"/>
      <c r="B36" s="273"/>
      <c r="C36" s="273"/>
      <c r="D36" s="273"/>
      <c r="E36" s="273"/>
      <c r="F36" s="273"/>
      <c r="G36" s="273"/>
      <c r="H36" s="273"/>
      <c r="I36" s="273"/>
      <c r="J36" s="273"/>
      <c r="K36" s="273"/>
    </row>
    <row r="37" spans="1:11" ht="15">
      <c r="A37" s="273"/>
      <c r="B37" s="273"/>
      <c r="C37" s="273"/>
      <c r="D37" s="273"/>
      <c r="E37" s="273"/>
      <c r="F37" s="273"/>
      <c r="G37" s="273"/>
      <c r="H37" s="273"/>
      <c r="I37" s="273"/>
      <c r="J37" s="273"/>
      <c r="K37" s="273"/>
    </row>
    <row r="38" spans="1:11" ht="15">
      <c r="A38" s="273"/>
      <c r="B38" s="273"/>
      <c r="C38" s="273"/>
      <c r="D38" s="273"/>
      <c r="E38" s="273"/>
      <c r="F38" s="273"/>
      <c r="G38" s="273"/>
      <c r="H38" s="273"/>
      <c r="I38" s="273"/>
      <c r="J38" s="273"/>
      <c r="K38" s="273"/>
    </row>
    <row r="39" spans="1:11" ht="15">
      <c r="A39" s="273"/>
      <c r="B39" s="273"/>
      <c r="C39" s="273"/>
      <c r="D39" s="273"/>
      <c r="E39" s="273"/>
      <c r="F39" s="273"/>
      <c r="G39" s="273"/>
      <c r="H39" s="273"/>
      <c r="I39" s="273"/>
      <c r="J39" s="273"/>
      <c r="K39" s="273"/>
    </row>
    <row r="40" spans="1:11" ht="15" hidden="1">
      <c r="A40" s="273"/>
      <c r="B40" s="273"/>
      <c r="C40" s="273"/>
      <c r="D40" s="273"/>
      <c r="E40" s="273"/>
      <c r="F40" s="273"/>
      <c r="G40" s="273"/>
      <c r="H40" s="273"/>
      <c r="I40" s="273"/>
      <c r="J40" s="273"/>
      <c r="K40" s="273"/>
    </row>
    <row r="41" spans="1:11" ht="15" hidden="1">
      <c r="A41" s="273"/>
      <c r="B41" s="273"/>
      <c r="C41" s="273"/>
      <c r="D41" s="273"/>
      <c r="E41" s="273"/>
      <c r="F41" s="273"/>
      <c r="G41" s="273"/>
      <c r="H41" s="273"/>
      <c r="I41" s="273"/>
      <c r="J41" s="273"/>
      <c r="K41" s="273"/>
    </row>
    <row r="42" spans="1:11" ht="15" hidden="1">
      <c r="A42" s="273"/>
      <c r="B42" s="273"/>
      <c r="C42" s="273"/>
      <c r="D42" s="273"/>
    </row>
    <row r="43" spans="1:11" ht="15" hidden="1">
      <c r="A43" s="273"/>
      <c r="B43" s="273"/>
      <c r="C43" s="273"/>
      <c r="D43" s="273"/>
    </row>
    <row r="44" spans="1:11" ht="9" customHeight="1">
      <c r="A44" s="273"/>
      <c r="B44" s="273"/>
      <c r="C44" s="273"/>
      <c r="D44" s="273"/>
    </row>
    <row r="45" spans="1:11" ht="18.75" customHeight="1">
      <c r="A45" s="201" t="s">
        <v>202</v>
      </c>
      <c r="B45" s="85"/>
      <c r="C45" s="85"/>
      <c r="D45" s="85"/>
    </row>
  </sheetData>
  <mergeCells count="1">
    <mergeCell ref="B7:D7"/>
  </mergeCells>
  <pageMargins left="0.51181102362204722" right="0.51181102362204722" top="1.1417322834645669" bottom="0.55118110236220474" header="0.31496062992125984" footer="0.31496062992125984"/>
  <pageSetup paperSize="9" scale="99" orientation="portrait"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45"/>
  <sheetViews>
    <sheetView showGridLines="0" view="pageBreakPreview" topLeftCell="A22" zoomScale="60" zoomScaleNormal="100" workbookViewId="0">
      <selection activeCell="L39" sqref="L39"/>
    </sheetView>
  </sheetViews>
  <sheetFormatPr baseColWidth="10" defaultColWidth="11.42578125" defaultRowHeight="13.5"/>
  <cols>
    <col min="1" max="1" width="23.42578125" style="48" customWidth="1"/>
    <col min="2" max="4" width="23.140625" style="48" customWidth="1"/>
    <col min="5" max="5" width="11.5703125" style="48" bestFit="1" customWidth="1"/>
    <col min="6" max="6" width="15.140625" style="48" bestFit="1"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11" s="273" customFormat="1" ht="15" customHeight="1">
      <c r="B1" s="1"/>
      <c r="C1" s="1"/>
      <c r="D1" s="64" t="s">
        <v>48</v>
      </c>
    </row>
    <row r="2" spans="1:11" s="273" customFormat="1" ht="15" customHeight="1">
      <c r="B2" s="1"/>
      <c r="C2" s="1"/>
      <c r="D2" s="6" t="s">
        <v>42</v>
      </c>
    </row>
    <row r="3" spans="1:11" s="273" customFormat="1" ht="15" customHeight="1">
      <c r="B3" s="1"/>
      <c r="C3" s="1"/>
      <c r="D3" s="1"/>
    </row>
    <row r="4" spans="1:11" s="273" customFormat="1" ht="12.75" customHeight="1">
      <c r="B4" s="1"/>
      <c r="C4" s="1"/>
      <c r="D4" s="1"/>
    </row>
    <row r="5" spans="1:11" s="273" customFormat="1" ht="23.25" customHeight="1">
      <c r="A5" s="81" t="s">
        <v>216</v>
      </c>
      <c r="B5" s="81"/>
      <c r="C5" s="81"/>
      <c r="D5" s="81"/>
    </row>
    <row r="6" spans="1:11" s="273" customFormat="1" ht="25.5" customHeight="1">
      <c r="A6" s="117" t="s">
        <v>198</v>
      </c>
      <c r="C6" s="65"/>
      <c r="D6" s="65"/>
    </row>
    <row r="7" spans="1:11" s="273" customFormat="1" ht="12.75" customHeight="1">
      <c r="A7" s="71"/>
      <c r="B7" s="365"/>
      <c r="C7" s="365"/>
      <c r="D7" s="365"/>
    </row>
    <row r="8" spans="1:11" s="114" customFormat="1" ht="45">
      <c r="A8" s="285" t="s">
        <v>45</v>
      </c>
      <c r="B8" s="130" t="s">
        <v>219</v>
      </c>
      <c r="C8" s="130" t="s">
        <v>217</v>
      </c>
      <c r="D8" s="130" t="s">
        <v>218</v>
      </c>
      <c r="E8" s="131"/>
      <c r="F8" s="115"/>
      <c r="G8" s="115"/>
      <c r="H8" s="115"/>
      <c r="I8" s="115"/>
      <c r="J8" s="115"/>
      <c r="K8" s="115"/>
    </row>
    <row r="9" spans="1:11" ht="15.75" hidden="1">
      <c r="A9" s="111" t="s">
        <v>39</v>
      </c>
      <c r="B9" s="118"/>
      <c r="C9" s="118"/>
      <c r="D9" s="123"/>
      <c r="E9" s="273"/>
      <c r="F9" s="273"/>
      <c r="G9" s="273"/>
      <c r="H9" s="273"/>
      <c r="I9" s="273"/>
      <c r="J9" s="273"/>
      <c r="K9" s="273"/>
    </row>
    <row r="10" spans="1:11" ht="15.75">
      <c r="A10" s="121">
        <v>2018</v>
      </c>
      <c r="B10" s="185">
        <v>3647.0250000000001</v>
      </c>
      <c r="C10" s="185">
        <v>3647.0250000000001</v>
      </c>
      <c r="D10" s="123">
        <v>100</v>
      </c>
      <c r="E10" s="273"/>
      <c r="F10" s="273"/>
      <c r="G10" s="273"/>
      <c r="H10" s="273"/>
      <c r="I10" s="273"/>
      <c r="J10" s="273"/>
      <c r="K10" s="273"/>
    </row>
    <row r="11" spans="1:11" ht="15.75">
      <c r="A11" s="121">
        <v>2019</v>
      </c>
      <c r="B11" s="185">
        <v>234.45</v>
      </c>
      <c r="C11" s="185">
        <v>234.45</v>
      </c>
      <c r="D11" s="123">
        <v>100</v>
      </c>
      <c r="E11" s="273"/>
      <c r="F11" s="273"/>
      <c r="G11" s="273"/>
      <c r="H11" s="273"/>
      <c r="I11" s="273"/>
      <c r="J11" s="273"/>
      <c r="K11" s="273"/>
    </row>
    <row r="12" spans="1:11" ht="15.75">
      <c r="A12" s="121">
        <v>2020</v>
      </c>
      <c r="B12" s="185">
        <v>0</v>
      </c>
      <c r="C12" s="185">
        <v>0</v>
      </c>
      <c r="D12" s="123">
        <v>0</v>
      </c>
      <c r="E12" s="273"/>
      <c r="F12" s="273"/>
      <c r="G12" s="273"/>
      <c r="H12" s="273"/>
      <c r="I12" s="273"/>
      <c r="J12" s="273"/>
      <c r="K12" s="273"/>
    </row>
    <row r="13" spans="1:11" ht="15.75">
      <c r="A13" s="121">
        <v>2021</v>
      </c>
      <c r="B13" s="185">
        <v>0</v>
      </c>
      <c r="C13" s="185">
        <v>0</v>
      </c>
      <c r="D13" s="123">
        <v>0</v>
      </c>
      <c r="E13" s="273"/>
      <c r="F13" s="273"/>
      <c r="G13" s="273"/>
      <c r="H13" s="273"/>
      <c r="I13" s="273"/>
      <c r="J13" s="273"/>
      <c r="K13" s="273"/>
    </row>
    <row r="14" spans="1:11" ht="15.75">
      <c r="A14" s="121">
        <v>2022</v>
      </c>
      <c r="B14" s="185">
        <v>0</v>
      </c>
      <c r="C14" s="185">
        <v>0</v>
      </c>
      <c r="D14" s="123">
        <v>0</v>
      </c>
      <c r="E14" s="273"/>
      <c r="F14" s="273"/>
      <c r="G14" s="273"/>
      <c r="H14" s="273"/>
      <c r="I14" s="273"/>
      <c r="J14" s="273"/>
      <c r="K14" s="273"/>
    </row>
    <row r="15" spans="1:11" ht="20.25" customHeight="1">
      <c r="A15" s="120" t="s">
        <v>314</v>
      </c>
      <c r="B15" s="187">
        <f>GETPIVOTDATA("Presupuesto Reprogramado
(Gasto de Inversión)",$A$8,"entidad","Oficinas Nacionales","Año",2022)-GETPIVOTDATA("Presupuesto Reprogramado
(Gasto de Inversión)",$A$8,"entidad","Oficinas Nacionales","Año",2021)</f>
        <v>0</v>
      </c>
      <c r="C15" s="187">
        <f>GETPIVOTDATA("Presupuesto Ejercido (Gasto de Inversión)",$A$8,"entidad","Oficinas Nacionales","Año",2022)-GETPIVOTDATA("Presupuesto Ejercido (Gasto de Inversión)",$A$8,"entidad","Oficinas Nacionales","Año",2021)</f>
        <v>0</v>
      </c>
      <c r="D15" s="119">
        <f>GETPIVOTDATA("Evolución del Gasto de Inversión",$A$8,"entidad","Oficinas Nacionales","Año",2022)-GETPIVOTDATA("Evolución del Gasto de Inversión",$A$8,"entidad","Oficinas Nacionales","Año",2021)</f>
        <v>0</v>
      </c>
      <c r="E15" s="273"/>
      <c r="F15" s="273"/>
      <c r="G15" s="273"/>
      <c r="H15" s="273"/>
      <c r="I15" s="273"/>
      <c r="J15" s="273"/>
      <c r="K15" s="273"/>
    </row>
    <row r="16" spans="1:11" ht="15">
      <c r="A16" s="273"/>
      <c r="B16" s="273"/>
      <c r="C16" s="273"/>
      <c r="D16" s="273"/>
      <c r="E16" s="273"/>
      <c r="F16" s="273"/>
      <c r="G16" s="273"/>
      <c r="H16" s="273"/>
      <c r="I16" s="273"/>
      <c r="J16" s="273"/>
      <c r="K16" s="273"/>
    </row>
    <row r="17" spans="1:11" ht="17.25" customHeight="1">
      <c r="A17" s="273" t="str">
        <f>A8</f>
        <v>Año</v>
      </c>
      <c r="B17" s="273" t="str">
        <f>B8</f>
        <v>Presupuesto Reprogramado
(Gasto de Inversión)</v>
      </c>
      <c r="C17" s="273" t="str">
        <f>C8</f>
        <v>Presupuesto Ejercido (Gasto de Inversión)</v>
      </c>
      <c r="D17" s="127" t="str">
        <f>D8</f>
        <v>Evolución del Gasto de Inversión</v>
      </c>
      <c r="E17" s="273"/>
      <c r="F17" s="273"/>
      <c r="G17" s="273"/>
      <c r="H17" s="273"/>
      <c r="I17" s="273"/>
      <c r="J17" s="273"/>
      <c r="K17" s="273"/>
    </row>
    <row r="18" spans="1:11" ht="15">
      <c r="A18" s="273">
        <f t="shared" ref="A18:D22" si="0">A10</f>
        <v>2018</v>
      </c>
      <c r="B18" s="273">
        <f t="shared" si="0"/>
        <v>3647.0250000000001</v>
      </c>
      <c r="C18" s="273">
        <f t="shared" si="0"/>
        <v>3647.0250000000001</v>
      </c>
      <c r="D18" s="273">
        <f t="shared" si="0"/>
        <v>100</v>
      </c>
      <c r="E18" s="273"/>
      <c r="F18" s="273"/>
      <c r="G18" s="273"/>
      <c r="H18" s="273"/>
      <c r="I18" s="273"/>
      <c r="J18" s="273"/>
      <c r="K18" s="273"/>
    </row>
    <row r="19" spans="1:11" ht="15">
      <c r="A19" s="273">
        <f t="shared" si="0"/>
        <v>2019</v>
      </c>
      <c r="B19" s="273">
        <f t="shared" si="0"/>
        <v>234.45</v>
      </c>
      <c r="C19" s="273">
        <f t="shared" si="0"/>
        <v>234.45</v>
      </c>
      <c r="D19" s="273">
        <f t="shared" si="0"/>
        <v>100</v>
      </c>
      <c r="E19" s="273"/>
      <c r="F19" s="273"/>
      <c r="G19" s="273"/>
      <c r="H19" s="273"/>
      <c r="I19" s="273"/>
      <c r="J19" s="273"/>
      <c r="K19" s="273"/>
    </row>
    <row r="20" spans="1:11" ht="15">
      <c r="A20" s="273">
        <f t="shared" si="0"/>
        <v>2020</v>
      </c>
      <c r="B20" s="273">
        <f t="shared" si="0"/>
        <v>0</v>
      </c>
      <c r="C20" s="273">
        <f t="shared" si="0"/>
        <v>0</v>
      </c>
      <c r="D20" s="273">
        <f t="shared" si="0"/>
        <v>0</v>
      </c>
      <c r="E20" s="273"/>
      <c r="F20" s="273"/>
      <c r="G20" s="273"/>
      <c r="H20" s="273"/>
      <c r="I20" s="273"/>
      <c r="J20" s="273"/>
      <c r="K20" s="273"/>
    </row>
    <row r="21" spans="1:11" ht="15">
      <c r="A21" s="273">
        <f t="shared" si="0"/>
        <v>2021</v>
      </c>
      <c r="B21" s="273">
        <f t="shared" si="0"/>
        <v>0</v>
      </c>
      <c r="C21" s="273">
        <f t="shared" si="0"/>
        <v>0</v>
      </c>
      <c r="D21" s="273">
        <f t="shared" si="0"/>
        <v>0</v>
      </c>
      <c r="E21" s="273"/>
      <c r="F21" s="273"/>
      <c r="G21" s="273"/>
      <c r="H21" s="273"/>
      <c r="I21" s="273"/>
      <c r="J21" s="273"/>
      <c r="K21" s="273"/>
    </row>
    <row r="22" spans="1:11" ht="15">
      <c r="A22" s="273">
        <f t="shared" si="0"/>
        <v>2022</v>
      </c>
      <c r="B22" s="273">
        <f t="shared" si="0"/>
        <v>0</v>
      </c>
      <c r="C22" s="273">
        <f t="shared" si="0"/>
        <v>0</v>
      </c>
      <c r="D22" s="273">
        <f t="shared" si="0"/>
        <v>0</v>
      </c>
      <c r="E22" s="273"/>
      <c r="F22" s="273"/>
      <c r="G22" s="273"/>
      <c r="H22" s="273"/>
      <c r="I22" s="273"/>
      <c r="J22" s="273"/>
      <c r="K22" s="273"/>
    </row>
    <row r="23" spans="1:11" ht="15">
      <c r="A23" s="273" t="e">
        <f>#REF!</f>
        <v>#REF!</v>
      </c>
      <c r="B23" s="273" t="e">
        <f>#REF!</f>
        <v>#REF!</v>
      </c>
      <c r="C23" s="273" t="e">
        <f>#REF!</f>
        <v>#REF!</v>
      </c>
      <c r="D23" s="273" t="e">
        <f>#REF!</f>
        <v>#REF!</v>
      </c>
      <c r="E23" s="273"/>
      <c r="F23" s="273"/>
      <c r="G23" s="273"/>
      <c r="H23" s="273"/>
      <c r="I23" s="273"/>
      <c r="J23" s="273"/>
      <c r="K23" s="273"/>
    </row>
    <row r="24" spans="1:11" ht="15">
      <c r="A24" s="273" t="e">
        <f>#REF!</f>
        <v>#REF!</v>
      </c>
      <c r="B24" s="273" t="e">
        <f>#REF!</f>
        <v>#REF!</v>
      </c>
      <c r="C24" s="273" t="e">
        <f>#REF!</f>
        <v>#REF!</v>
      </c>
      <c r="D24" s="273" t="e">
        <f>#REF!</f>
        <v>#REF!</v>
      </c>
      <c r="E24" s="273"/>
      <c r="F24" s="273"/>
      <c r="G24" s="273"/>
      <c r="H24" s="273"/>
      <c r="I24" s="273"/>
      <c r="J24" s="273"/>
      <c r="K24" s="273"/>
    </row>
    <row r="25" spans="1:11" ht="15">
      <c r="A25" s="273" t="e">
        <f>#REF!</f>
        <v>#REF!</v>
      </c>
      <c r="B25" s="273" t="e">
        <f>#REF!</f>
        <v>#REF!</v>
      </c>
      <c r="C25" s="273" t="e">
        <f>#REF!</f>
        <v>#REF!</v>
      </c>
      <c r="D25" s="273" t="e">
        <f>#REF!</f>
        <v>#REF!</v>
      </c>
      <c r="E25" s="273"/>
      <c r="F25" s="273"/>
      <c r="G25" s="273"/>
      <c r="H25" s="273"/>
      <c r="I25" s="273"/>
      <c r="J25" s="273"/>
      <c r="K25" s="273"/>
    </row>
    <row r="26" spans="1:11" ht="15">
      <c r="A26" s="273"/>
      <c r="B26" s="273"/>
      <c r="C26" s="273"/>
      <c r="D26" s="273"/>
      <c r="E26" s="273"/>
      <c r="F26" s="273"/>
      <c r="G26" s="273"/>
      <c r="H26" s="273"/>
      <c r="I26" s="273"/>
      <c r="J26" s="273"/>
      <c r="K26" s="273"/>
    </row>
    <row r="27" spans="1:11" ht="15">
      <c r="A27" s="273"/>
      <c r="B27" s="273"/>
      <c r="C27" s="273"/>
      <c r="D27" s="273"/>
      <c r="E27" s="273"/>
      <c r="F27" s="273"/>
      <c r="G27" s="273"/>
      <c r="H27" s="273"/>
      <c r="I27" s="273"/>
      <c r="J27" s="273"/>
      <c r="K27" s="273"/>
    </row>
    <row r="28" spans="1:11" ht="15">
      <c r="A28" s="273"/>
      <c r="B28" s="273"/>
      <c r="C28" s="273"/>
      <c r="D28" s="273"/>
      <c r="E28" s="273"/>
      <c r="F28" s="273"/>
      <c r="G28" s="273"/>
      <c r="H28" s="273"/>
      <c r="I28" s="273"/>
      <c r="J28" s="273"/>
      <c r="K28" s="273"/>
    </row>
    <row r="29" spans="1:11" ht="15">
      <c r="A29" s="273"/>
      <c r="B29" s="273"/>
      <c r="C29" s="273"/>
      <c r="D29" s="273"/>
      <c r="E29" s="273"/>
      <c r="F29" s="273"/>
      <c r="G29" s="273"/>
      <c r="H29" s="273"/>
      <c r="I29" s="273"/>
      <c r="J29" s="273"/>
      <c r="K29" s="273"/>
    </row>
    <row r="30" spans="1:11" ht="15">
      <c r="A30" s="273"/>
      <c r="B30" s="273"/>
      <c r="C30" s="273"/>
      <c r="D30" s="273"/>
      <c r="E30" s="273"/>
      <c r="F30" s="273"/>
      <c r="G30" s="273"/>
      <c r="H30" s="273"/>
      <c r="I30" s="273"/>
      <c r="J30" s="273"/>
      <c r="K30" s="273"/>
    </row>
    <row r="31" spans="1:11" ht="15">
      <c r="A31" s="273"/>
      <c r="B31" s="273"/>
      <c r="C31" s="273"/>
      <c r="D31" s="273"/>
      <c r="E31" s="273"/>
      <c r="F31" s="273"/>
      <c r="G31" s="273"/>
      <c r="H31" s="273"/>
      <c r="I31" s="273"/>
      <c r="J31" s="273"/>
      <c r="K31" s="273"/>
    </row>
    <row r="32" spans="1:11" ht="15">
      <c r="A32" s="273"/>
      <c r="B32" s="273"/>
      <c r="C32" s="273"/>
      <c r="D32" s="273"/>
      <c r="E32" s="273"/>
      <c r="F32" s="273"/>
      <c r="G32" s="273"/>
      <c r="H32" s="273"/>
      <c r="I32" s="273"/>
      <c r="J32" s="273"/>
      <c r="K32" s="273"/>
    </row>
    <row r="33" spans="1:11" ht="15">
      <c r="A33" s="273"/>
      <c r="B33" s="273"/>
      <c r="C33" s="273"/>
      <c r="D33" s="273"/>
      <c r="E33" s="273"/>
      <c r="F33" s="273"/>
      <c r="G33" s="273"/>
      <c r="H33" s="273"/>
      <c r="I33" s="273"/>
      <c r="J33" s="273"/>
      <c r="K33" s="273"/>
    </row>
    <row r="34" spans="1:11" ht="15">
      <c r="A34" s="273"/>
      <c r="B34" s="273"/>
      <c r="C34" s="273"/>
      <c r="D34" s="273"/>
      <c r="E34" s="273"/>
      <c r="F34" s="273"/>
      <c r="G34" s="273"/>
      <c r="H34" s="273"/>
      <c r="I34" s="273"/>
      <c r="J34" s="273"/>
      <c r="K34" s="273"/>
    </row>
    <row r="35" spans="1:11" ht="15">
      <c r="A35" s="273"/>
      <c r="B35" s="273"/>
      <c r="C35" s="273"/>
      <c r="D35" s="273"/>
      <c r="E35" s="273"/>
      <c r="F35" s="273"/>
      <c r="G35" s="273"/>
      <c r="H35" s="273"/>
      <c r="I35" s="273"/>
      <c r="J35" s="273"/>
      <c r="K35" s="273"/>
    </row>
    <row r="36" spans="1:11" ht="15">
      <c r="A36" s="273"/>
      <c r="B36" s="273"/>
      <c r="C36" s="273"/>
      <c r="D36" s="273"/>
      <c r="E36" s="273"/>
      <c r="F36" s="273"/>
      <c r="G36" s="273"/>
      <c r="H36" s="273"/>
      <c r="I36" s="273"/>
      <c r="J36" s="273"/>
      <c r="K36" s="273"/>
    </row>
    <row r="37" spans="1:11" ht="15">
      <c r="A37" s="273"/>
      <c r="B37" s="273"/>
      <c r="C37" s="273"/>
      <c r="D37" s="273"/>
      <c r="E37" s="273"/>
      <c r="F37" s="273"/>
      <c r="G37" s="273"/>
      <c r="H37" s="273"/>
      <c r="I37" s="273"/>
      <c r="J37" s="273"/>
      <c r="K37" s="273"/>
    </row>
    <row r="38" spans="1:11" ht="15">
      <c r="A38" s="273"/>
      <c r="B38" s="273"/>
      <c r="C38" s="273"/>
      <c r="D38" s="273"/>
      <c r="E38" s="273"/>
      <c r="F38" s="273"/>
      <c r="G38" s="273"/>
      <c r="H38" s="273"/>
      <c r="I38" s="273"/>
      <c r="J38" s="273"/>
      <c r="K38" s="273"/>
    </row>
    <row r="39" spans="1:11" ht="15">
      <c r="A39" s="273"/>
      <c r="B39" s="273"/>
      <c r="C39" s="273"/>
      <c r="D39" s="273"/>
      <c r="E39" s="273"/>
      <c r="F39" s="273"/>
      <c r="G39" s="273"/>
      <c r="H39" s="273"/>
      <c r="I39" s="273"/>
      <c r="J39" s="273"/>
      <c r="K39" s="273"/>
    </row>
    <row r="40" spans="1:11" ht="15" hidden="1">
      <c r="A40" s="273"/>
      <c r="B40" s="273"/>
      <c r="C40" s="273"/>
      <c r="D40" s="273"/>
      <c r="E40" s="273"/>
      <c r="F40" s="273"/>
      <c r="G40" s="273"/>
      <c r="H40" s="273"/>
      <c r="I40" s="273"/>
      <c r="J40" s="273"/>
      <c r="K40" s="273"/>
    </row>
    <row r="41" spans="1:11" ht="15" hidden="1">
      <c r="A41" s="273"/>
      <c r="B41" s="273"/>
      <c r="C41" s="273"/>
      <c r="D41" s="273"/>
      <c r="E41" s="273"/>
      <c r="F41" s="273"/>
      <c r="G41" s="273"/>
      <c r="H41" s="273"/>
      <c r="I41" s="273"/>
      <c r="J41" s="273"/>
      <c r="K41" s="273"/>
    </row>
    <row r="42" spans="1:11" ht="15" hidden="1">
      <c r="A42" s="273"/>
      <c r="B42" s="273"/>
      <c r="C42" s="273"/>
      <c r="D42" s="273"/>
    </row>
    <row r="43" spans="1:11" ht="15" hidden="1">
      <c r="A43" s="273"/>
      <c r="B43" s="273"/>
      <c r="C43" s="273"/>
      <c r="D43" s="273"/>
    </row>
    <row r="44" spans="1:11" ht="9" customHeight="1">
      <c r="A44" s="273"/>
      <c r="B44" s="273"/>
      <c r="C44" s="273"/>
      <c r="D44" s="273"/>
    </row>
    <row r="45" spans="1:11" ht="18.75" customHeight="1">
      <c r="A45" s="201" t="s">
        <v>202</v>
      </c>
      <c r="B45" s="85"/>
      <c r="C45" s="85"/>
      <c r="D45" s="85"/>
    </row>
  </sheetData>
  <mergeCells count="1">
    <mergeCell ref="B7:D7"/>
  </mergeCells>
  <pageMargins left="0.51181102362204722" right="0.51181102362204722" top="1.1417322834645669" bottom="0.55118110236220474" header="0.31496062992125984" footer="0.31496062992125984"/>
  <pageSetup paperSize="9" scale="99" orientation="portrait"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45"/>
  <sheetViews>
    <sheetView showGridLines="0" view="pageBreakPreview" topLeftCell="A25" zoomScale="60" zoomScaleNormal="115" workbookViewId="0">
      <selection activeCell="L39" sqref="L39"/>
    </sheetView>
  </sheetViews>
  <sheetFormatPr baseColWidth="10" defaultColWidth="11.42578125" defaultRowHeight="13.5"/>
  <cols>
    <col min="1" max="1" width="23.42578125" style="48" customWidth="1"/>
    <col min="2" max="4" width="23.140625" style="48" customWidth="1"/>
    <col min="5" max="5" width="11.5703125" style="48" bestFit="1" customWidth="1"/>
    <col min="6" max="6" width="15.140625" style="48" bestFit="1"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11" s="273" customFormat="1" ht="15" customHeight="1">
      <c r="B1" s="1"/>
      <c r="C1" s="1"/>
      <c r="D1" s="64" t="s">
        <v>48</v>
      </c>
    </row>
    <row r="2" spans="1:11" s="273" customFormat="1" ht="15" customHeight="1">
      <c r="B2" s="1"/>
      <c r="C2" s="1"/>
      <c r="D2" s="6" t="s">
        <v>42</v>
      </c>
    </row>
    <row r="3" spans="1:11" s="273" customFormat="1" ht="15" customHeight="1">
      <c r="B3" s="1"/>
      <c r="C3" s="1"/>
      <c r="D3" s="1"/>
    </row>
    <row r="4" spans="1:11" s="273" customFormat="1" ht="12.75" customHeight="1">
      <c r="B4" s="1"/>
      <c r="C4" s="1"/>
      <c r="D4" s="1"/>
    </row>
    <row r="5" spans="1:11" s="273" customFormat="1" ht="23.25" customHeight="1">
      <c r="A5" s="81" t="s">
        <v>220</v>
      </c>
      <c r="B5" s="81"/>
      <c r="C5" s="81"/>
      <c r="D5" s="81"/>
    </row>
    <row r="6" spans="1:11" s="273" customFormat="1" ht="25.5" customHeight="1">
      <c r="A6" s="117" t="s">
        <v>198</v>
      </c>
      <c r="C6" s="65"/>
      <c r="D6" s="65"/>
    </row>
    <row r="7" spans="1:11" s="273" customFormat="1" ht="12.75" customHeight="1">
      <c r="A7" s="71"/>
      <c r="B7" s="365"/>
      <c r="C7" s="365"/>
      <c r="D7" s="365"/>
    </row>
    <row r="8" spans="1:11" s="114" customFormat="1" ht="30">
      <c r="A8" s="285" t="s">
        <v>45</v>
      </c>
      <c r="B8" s="130" t="s">
        <v>221</v>
      </c>
      <c r="C8" s="130" t="s">
        <v>222</v>
      </c>
      <c r="D8" s="130" t="s">
        <v>223</v>
      </c>
      <c r="E8" s="131"/>
      <c r="F8" s="115"/>
      <c r="G8" s="115"/>
      <c r="H8" s="115"/>
      <c r="I8" s="115"/>
      <c r="J8" s="115"/>
      <c r="K8" s="115"/>
    </row>
    <row r="9" spans="1:11" ht="15.75" hidden="1">
      <c r="A9" s="111" t="s">
        <v>39</v>
      </c>
      <c r="B9" s="118"/>
      <c r="C9" s="118"/>
      <c r="D9" s="123"/>
      <c r="E9" s="273"/>
      <c r="F9" s="273"/>
      <c r="G9" s="273"/>
      <c r="H9" s="273"/>
      <c r="I9" s="273"/>
      <c r="J9" s="273"/>
      <c r="K9" s="273"/>
    </row>
    <row r="10" spans="1:11" ht="15.75">
      <c r="A10" s="121">
        <v>2018</v>
      </c>
      <c r="B10" s="185">
        <v>1578480.4650000001</v>
      </c>
      <c r="C10" s="185">
        <v>50314.159</v>
      </c>
      <c r="D10" s="123">
        <v>3.1875059663788745</v>
      </c>
      <c r="E10" s="273"/>
      <c r="F10" s="273"/>
      <c r="G10" s="273"/>
      <c r="H10" s="273"/>
      <c r="I10" s="273"/>
      <c r="J10" s="273"/>
      <c r="K10" s="273"/>
    </row>
    <row r="11" spans="1:11" ht="15.75">
      <c r="A11" s="121">
        <v>2019</v>
      </c>
      <c r="B11" s="185">
        <v>1511221.007</v>
      </c>
      <c r="C11" s="185">
        <v>47501.078999999998</v>
      </c>
      <c r="D11" s="123">
        <v>3.1432251656094139</v>
      </c>
      <c r="E11" s="273"/>
      <c r="F11" s="273"/>
      <c r="G11" s="273"/>
      <c r="H11" s="273"/>
      <c r="I11" s="273"/>
      <c r="J11" s="273"/>
      <c r="K11" s="273"/>
    </row>
    <row r="12" spans="1:11" ht="15.75">
      <c r="A12" s="121">
        <v>2020</v>
      </c>
      <c r="B12" s="185">
        <v>1422248.821</v>
      </c>
      <c r="C12" s="185">
        <v>33565.135999999999</v>
      </c>
      <c r="D12" s="123">
        <v>2.360004487569197</v>
      </c>
      <c r="E12" s="273"/>
      <c r="F12" s="273"/>
      <c r="G12" s="273"/>
      <c r="H12" s="273"/>
      <c r="I12" s="273"/>
      <c r="J12" s="273"/>
      <c r="K12" s="273"/>
    </row>
    <row r="13" spans="1:11" ht="15.75">
      <c r="A13" s="121">
        <v>2021</v>
      </c>
      <c r="B13" s="185">
        <v>1597687.4310000001</v>
      </c>
      <c r="C13" s="185">
        <v>27755.044000000002</v>
      </c>
      <c r="D13" s="123">
        <v>1.7372011234154847</v>
      </c>
      <c r="E13" s="273"/>
      <c r="F13" s="273"/>
      <c r="G13" s="273"/>
      <c r="H13" s="273"/>
      <c r="I13" s="273"/>
      <c r="J13" s="273"/>
      <c r="K13" s="273"/>
    </row>
    <row r="14" spans="1:11" ht="15.75">
      <c r="A14" s="121">
        <v>2022</v>
      </c>
      <c r="B14" s="185">
        <v>1716208.933</v>
      </c>
      <c r="C14" s="185">
        <v>36034.680999999997</v>
      </c>
      <c r="D14" s="123">
        <v>2.0996674884455921</v>
      </c>
      <c r="E14" s="273"/>
      <c r="F14" s="273"/>
      <c r="G14" s="273"/>
      <c r="H14" s="273"/>
      <c r="I14" s="273"/>
      <c r="J14" s="273"/>
      <c r="K14" s="273"/>
    </row>
    <row r="15" spans="1:11" ht="20.25" customHeight="1">
      <c r="A15" s="120" t="s">
        <v>314</v>
      </c>
      <c r="B15" s="186">
        <f>GETPIVOTDATA("Presupuesto Ejercido Total",$A$8,"entidad","Oficinas Nacionales","Año",2022)-GETPIVOTDATA("Presupuesto Ejercido Total",$A$8,"entidad","Oficinas Nacionales","Año",2021)</f>
        <v>118521.50199999986</v>
      </c>
      <c r="C15" s="186">
        <f>GETPIVOTDATA("Ingresos Propios ejercidos",$A$8,"entidad","Oficinas Nacionales","Año",2022)-GETPIVOTDATA("Ingresos Propios ejercidos",$A$8,"entidad","Oficinas Nacionales","Año",2021)</f>
        <v>8279.6369999999952</v>
      </c>
      <c r="D15" s="184">
        <f>GETPIVOTDATA("Índice de Autofinancimiento",$A$8,"entidad","Oficinas Nacionales","Año",2022)-GETPIVOTDATA("Índice de Autofinancimiento",$A$8,"entidad","Oficinas Nacionales","Año",2021)</f>
        <v>0.36246636503010743</v>
      </c>
      <c r="E15" s="273"/>
      <c r="F15" s="273"/>
      <c r="G15" s="273"/>
      <c r="H15" s="273"/>
      <c r="I15" s="273"/>
      <c r="J15" s="273"/>
      <c r="K15" s="273"/>
    </row>
    <row r="16" spans="1:11" ht="15">
      <c r="A16" s="273"/>
      <c r="B16" s="273"/>
      <c r="C16" s="273"/>
      <c r="D16" s="273"/>
      <c r="E16" s="273"/>
      <c r="F16" s="273"/>
      <c r="G16" s="273"/>
      <c r="H16" s="273"/>
      <c r="I16" s="273"/>
      <c r="J16" s="273"/>
      <c r="K16" s="273"/>
    </row>
    <row r="17" spans="1:11" ht="17.25" customHeight="1">
      <c r="A17" s="273" t="str">
        <f>A8</f>
        <v>Año</v>
      </c>
      <c r="B17" s="273" t="str">
        <f>B8</f>
        <v>Presupuesto Ejercido Total</v>
      </c>
      <c r="C17" s="273" t="str">
        <f>C8</f>
        <v>Ingresos Propios ejercidos</v>
      </c>
      <c r="D17" s="127" t="str">
        <f>D8</f>
        <v>Índice de Autofinancimiento</v>
      </c>
      <c r="E17" s="273"/>
      <c r="F17" s="273"/>
      <c r="G17" s="273"/>
      <c r="H17" s="273"/>
      <c r="I17" s="273"/>
      <c r="J17" s="273"/>
      <c r="K17" s="273"/>
    </row>
    <row r="18" spans="1:11" ht="15">
      <c r="A18" s="273">
        <f t="shared" ref="A18:D22" si="0">A10</f>
        <v>2018</v>
      </c>
      <c r="B18" s="273">
        <f t="shared" si="0"/>
        <v>1578480.4650000001</v>
      </c>
      <c r="C18" s="273">
        <f t="shared" si="0"/>
        <v>50314.159</v>
      </c>
      <c r="D18" s="273">
        <f t="shared" si="0"/>
        <v>3.1875059663788745</v>
      </c>
      <c r="E18" s="273"/>
      <c r="F18" s="273"/>
      <c r="G18" s="273"/>
      <c r="H18" s="273"/>
      <c r="I18" s="273"/>
      <c r="J18" s="273"/>
      <c r="K18" s="273"/>
    </row>
    <row r="19" spans="1:11" ht="15">
      <c r="A19" s="273">
        <f t="shared" si="0"/>
        <v>2019</v>
      </c>
      <c r="B19" s="273">
        <f t="shared" si="0"/>
        <v>1511221.007</v>
      </c>
      <c r="C19" s="273">
        <f t="shared" si="0"/>
        <v>47501.078999999998</v>
      </c>
      <c r="D19" s="273">
        <f t="shared" si="0"/>
        <v>3.1432251656094139</v>
      </c>
      <c r="E19" s="273"/>
      <c r="F19" s="273"/>
      <c r="G19" s="273"/>
      <c r="H19" s="273"/>
      <c r="I19" s="273"/>
      <c r="J19" s="273"/>
      <c r="K19" s="273"/>
    </row>
    <row r="20" spans="1:11" ht="15">
      <c r="A20" s="273">
        <f t="shared" si="0"/>
        <v>2020</v>
      </c>
      <c r="B20" s="273">
        <f t="shared" si="0"/>
        <v>1422248.821</v>
      </c>
      <c r="C20" s="273">
        <f t="shared" si="0"/>
        <v>33565.135999999999</v>
      </c>
      <c r="D20" s="273">
        <f t="shared" si="0"/>
        <v>2.360004487569197</v>
      </c>
      <c r="E20" s="273"/>
      <c r="F20" s="273"/>
      <c r="G20" s="273"/>
      <c r="H20" s="273"/>
      <c r="I20" s="273"/>
      <c r="J20" s="273"/>
      <c r="K20" s="273"/>
    </row>
    <row r="21" spans="1:11" ht="15">
      <c r="A21" s="273">
        <f t="shared" si="0"/>
        <v>2021</v>
      </c>
      <c r="B21" s="273">
        <f t="shared" si="0"/>
        <v>1597687.4310000001</v>
      </c>
      <c r="C21" s="273">
        <f t="shared" si="0"/>
        <v>27755.044000000002</v>
      </c>
      <c r="D21" s="273">
        <f t="shared" si="0"/>
        <v>1.7372011234154847</v>
      </c>
      <c r="E21" s="273"/>
      <c r="F21" s="273"/>
      <c r="G21" s="273"/>
      <c r="H21" s="273"/>
      <c r="I21" s="273"/>
      <c r="J21" s="273"/>
      <c r="K21" s="273"/>
    </row>
    <row r="22" spans="1:11" ht="15">
      <c r="A22" s="273">
        <f t="shared" si="0"/>
        <v>2022</v>
      </c>
      <c r="B22" s="273">
        <f t="shared" si="0"/>
        <v>1716208.933</v>
      </c>
      <c r="C22" s="273">
        <f t="shared" si="0"/>
        <v>36034.680999999997</v>
      </c>
      <c r="D22" s="273">
        <f t="shared" si="0"/>
        <v>2.0996674884455921</v>
      </c>
      <c r="E22" s="273"/>
      <c r="F22" s="273"/>
      <c r="G22" s="273"/>
      <c r="H22" s="273"/>
      <c r="I22" s="273"/>
      <c r="J22" s="273"/>
      <c r="K22" s="273"/>
    </row>
    <row r="23" spans="1:11" ht="15">
      <c r="A23" s="273" t="e">
        <f>#REF!</f>
        <v>#REF!</v>
      </c>
      <c r="B23" s="273" t="e">
        <f>#REF!</f>
        <v>#REF!</v>
      </c>
      <c r="C23" s="273" t="e">
        <f>#REF!</f>
        <v>#REF!</v>
      </c>
      <c r="D23" s="273" t="e">
        <f>#REF!</f>
        <v>#REF!</v>
      </c>
      <c r="E23" s="273"/>
      <c r="F23" s="273"/>
      <c r="G23" s="273"/>
      <c r="H23" s="273"/>
      <c r="I23" s="273"/>
      <c r="J23" s="273"/>
      <c r="K23" s="273"/>
    </row>
    <row r="24" spans="1:11" ht="15">
      <c r="A24" s="273" t="e">
        <f>#REF!</f>
        <v>#REF!</v>
      </c>
      <c r="B24" s="273" t="e">
        <f>#REF!</f>
        <v>#REF!</v>
      </c>
      <c r="C24" s="273" t="e">
        <f>#REF!</f>
        <v>#REF!</v>
      </c>
      <c r="D24" s="273" t="e">
        <f>#REF!</f>
        <v>#REF!</v>
      </c>
      <c r="E24" s="273"/>
      <c r="F24" s="273"/>
      <c r="G24" s="273"/>
      <c r="H24" s="273"/>
      <c r="I24" s="273"/>
      <c r="J24" s="273"/>
      <c r="K24" s="273"/>
    </row>
    <row r="25" spans="1:11" ht="15">
      <c r="A25" s="273" t="e">
        <f>#REF!</f>
        <v>#REF!</v>
      </c>
      <c r="B25" s="273" t="e">
        <f>#REF!</f>
        <v>#REF!</v>
      </c>
      <c r="C25" s="273" t="e">
        <f>#REF!</f>
        <v>#REF!</v>
      </c>
      <c r="D25" s="273" t="e">
        <f>#REF!</f>
        <v>#REF!</v>
      </c>
      <c r="E25" s="273"/>
      <c r="F25" s="273"/>
      <c r="G25" s="273"/>
      <c r="H25" s="273"/>
      <c r="I25" s="273"/>
      <c r="J25" s="273"/>
      <c r="K25" s="273"/>
    </row>
    <row r="26" spans="1:11" ht="15">
      <c r="A26" s="273"/>
      <c r="B26" s="273"/>
      <c r="C26" s="273"/>
      <c r="D26" s="273"/>
      <c r="E26" s="273"/>
      <c r="F26" s="273"/>
      <c r="G26" s="273"/>
      <c r="H26" s="273"/>
      <c r="I26" s="273"/>
      <c r="J26" s="273"/>
      <c r="K26" s="273"/>
    </row>
    <row r="27" spans="1:11" ht="15">
      <c r="A27" s="273"/>
      <c r="B27" s="273"/>
      <c r="C27" s="273"/>
      <c r="D27" s="273"/>
      <c r="E27" s="273"/>
      <c r="F27" s="273"/>
      <c r="G27" s="273"/>
      <c r="H27" s="273"/>
      <c r="I27" s="273"/>
      <c r="J27" s="273"/>
      <c r="K27" s="273"/>
    </row>
    <row r="28" spans="1:11" ht="15">
      <c r="A28" s="273"/>
      <c r="B28" s="273"/>
      <c r="C28" s="273"/>
      <c r="D28" s="273"/>
      <c r="E28" s="273"/>
      <c r="F28" s="273"/>
      <c r="G28" s="273"/>
      <c r="H28" s="273"/>
      <c r="I28" s="273"/>
      <c r="J28" s="273"/>
      <c r="K28" s="273"/>
    </row>
    <row r="29" spans="1:11" ht="15">
      <c r="A29" s="273"/>
      <c r="B29" s="273"/>
      <c r="C29" s="273"/>
      <c r="D29" s="273"/>
      <c r="E29" s="273"/>
      <c r="F29" s="273"/>
      <c r="G29" s="273"/>
      <c r="H29" s="273"/>
      <c r="I29" s="273"/>
      <c r="J29" s="273"/>
      <c r="K29" s="273"/>
    </row>
    <row r="30" spans="1:11" ht="15">
      <c r="A30" s="273"/>
      <c r="B30" s="273"/>
      <c r="C30" s="273"/>
      <c r="D30" s="273"/>
      <c r="E30" s="273"/>
      <c r="F30" s="273"/>
      <c r="G30" s="273"/>
      <c r="H30" s="273"/>
      <c r="I30" s="273"/>
      <c r="J30" s="273"/>
      <c r="K30" s="273"/>
    </row>
    <row r="31" spans="1:11" ht="15">
      <c r="A31" s="273"/>
      <c r="B31" s="273"/>
      <c r="C31" s="273"/>
      <c r="D31" s="273"/>
      <c r="E31" s="273"/>
      <c r="F31" s="273"/>
      <c r="G31" s="273"/>
      <c r="H31" s="273"/>
      <c r="I31" s="273"/>
      <c r="J31" s="273"/>
      <c r="K31" s="273"/>
    </row>
    <row r="32" spans="1:11" ht="15">
      <c r="A32" s="273"/>
      <c r="B32" s="273"/>
      <c r="C32" s="273"/>
      <c r="D32" s="273"/>
      <c r="E32" s="273"/>
      <c r="F32" s="273"/>
      <c r="G32" s="273"/>
      <c r="H32" s="273"/>
      <c r="I32" s="273"/>
      <c r="J32" s="273"/>
      <c r="K32" s="273"/>
    </row>
    <row r="33" spans="1:11" ht="15">
      <c r="A33" s="273"/>
      <c r="B33" s="273"/>
      <c r="C33" s="273"/>
      <c r="D33" s="273"/>
      <c r="E33" s="273"/>
      <c r="F33" s="273"/>
      <c r="G33" s="273"/>
      <c r="H33" s="273"/>
      <c r="I33" s="273"/>
      <c r="J33" s="273"/>
      <c r="K33" s="273"/>
    </row>
    <row r="34" spans="1:11" ht="15">
      <c r="A34" s="273"/>
      <c r="B34" s="273"/>
      <c r="C34" s="273"/>
      <c r="D34" s="273"/>
      <c r="E34" s="273"/>
      <c r="F34" s="273"/>
      <c r="G34" s="273"/>
      <c r="H34" s="273"/>
      <c r="I34" s="273"/>
      <c r="J34" s="273"/>
      <c r="K34" s="273"/>
    </row>
    <row r="35" spans="1:11" ht="15">
      <c r="A35" s="273"/>
      <c r="B35" s="273"/>
      <c r="C35" s="273"/>
      <c r="D35" s="273"/>
      <c r="E35" s="273"/>
      <c r="F35" s="273"/>
      <c r="G35" s="273"/>
      <c r="H35" s="273"/>
      <c r="I35" s="273"/>
      <c r="J35" s="273"/>
      <c r="K35" s="273"/>
    </row>
    <row r="36" spans="1:11" ht="15">
      <c r="A36" s="273"/>
      <c r="B36" s="273"/>
      <c r="C36" s="273"/>
      <c r="D36" s="273"/>
      <c r="E36" s="273"/>
      <c r="F36" s="273"/>
      <c r="G36" s="273"/>
      <c r="H36" s="273"/>
      <c r="I36" s="273"/>
      <c r="J36" s="273"/>
      <c r="K36" s="273"/>
    </row>
    <row r="37" spans="1:11" ht="15">
      <c r="A37" s="273"/>
      <c r="B37" s="273"/>
      <c r="C37" s="273"/>
      <c r="D37" s="273"/>
      <c r="E37" s="273"/>
      <c r="F37" s="273"/>
      <c r="G37" s="273"/>
      <c r="H37" s="273"/>
      <c r="I37" s="273"/>
      <c r="J37" s="273"/>
      <c r="K37" s="273"/>
    </row>
    <row r="38" spans="1:11" ht="15">
      <c r="A38" s="273"/>
      <c r="B38" s="273"/>
      <c r="C38" s="273"/>
      <c r="D38" s="273"/>
      <c r="E38" s="273"/>
      <c r="F38" s="273"/>
      <c r="G38" s="273"/>
      <c r="H38" s="273"/>
      <c r="I38" s="273"/>
      <c r="J38" s="273"/>
      <c r="K38" s="273"/>
    </row>
    <row r="39" spans="1:11" ht="15">
      <c r="A39" s="273"/>
      <c r="B39" s="273"/>
      <c r="C39" s="273"/>
      <c r="D39" s="273"/>
      <c r="E39" s="273"/>
      <c r="F39" s="273"/>
      <c r="G39" s="273"/>
      <c r="H39" s="273"/>
      <c r="I39" s="273"/>
      <c r="J39" s="273"/>
      <c r="K39" s="273"/>
    </row>
    <row r="40" spans="1:11" ht="15" hidden="1">
      <c r="A40" s="273"/>
      <c r="B40" s="273"/>
      <c r="C40" s="273"/>
      <c r="D40" s="273"/>
      <c r="E40" s="273"/>
      <c r="F40" s="273"/>
      <c r="G40" s="273"/>
      <c r="H40" s="273"/>
      <c r="I40" s="273"/>
      <c r="J40" s="273"/>
      <c r="K40" s="273"/>
    </row>
    <row r="41" spans="1:11" ht="15" hidden="1">
      <c r="A41" s="273"/>
      <c r="B41" s="273"/>
      <c r="C41" s="273"/>
      <c r="D41" s="273"/>
      <c r="E41" s="273"/>
      <c r="F41" s="273"/>
      <c r="G41" s="273"/>
      <c r="H41" s="273"/>
      <c r="I41" s="273"/>
      <c r="J41" s="273"/>
      <c r="K41" s="273"/>
    </row>
    <row r="42" spans="1:11" ht="15" hidden="1">
      <c r="A42" s="273"/>
      <c r="B42" s="273"/>
      <c r="C42" s="273"/>
      <c r="D42" s="273"/>
    </row>
    <row r="43" spans="1:11" ht="15" hidden="1">
      <c r="A43" s="273"/>
      <c r="B43" s="273"/>
      <c r="C43" s="273"/>
      <c r="D43" s="273"/>
    </row>
    <row r="44" spans="1:11" ht="9" customHeight="1">
      <c r="A44" s="273"/>
      <c r="B44" s="273"/>
      <c r="C44" s="273"/>
      <c r="D44" s="273"/>
    </row>
    <row r="45" spans="1:11" ht="18.75" customHeight="1">
      <c r="A45" s="201" t="s">
        <v>202</v>
      </c>
      <c r="B45" s="85"/>
      <c r="C45" s="85"/>
      <c r="D45" s="85"/>
    </row>
  </sheetData>
  <mergeCells count="1">
    <mergeCell ref="B7:D7"/>
  </mergeCells>
  <pageMargins left="0.51181102362204722" right="0.51181102362204722" top="1.1417322834645669" bottom="0.55118110236220474" header="0.31496062992125984" footer="0.31496062992125984"/>
  <pageSetup paperSize="9" scale="99" orientation="portrait"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5"/>
  <sheetViews>
    <sheetView showGridLines="0" view="pageBreakPreview" topLeftCell="A10" zoomScale="60" zoomScaleNormal="115" workbookViewId="0">
      <selection activeCell="L39" sqref="L39"/>
    </sheetView>
  </sheetViews>
  <sheetFormatPr baseColWidth="10" defaultColWidth="11.42578125" defaultRowHeight="13.5"/>
  <cols>
    <col min="1" max="1" width="23.42578125" style="48" customWidth="1"/>
    <col min="2" max="4" width="23.140625" style="48" customWidth="1"/>
    <col min="5" max="5" width="11.5703125" style="48" bestFit="1" customWidth="1"/>
    <col min="6" max="6" width="15.140625" style="48" bestFit="1" customWidth="1"/>
    <col min="7" max="7" width="11.5703125" style="48" bestFit="1" customWidth="1"/>
    <col min="8" max="8" width="15.140625" style="48" bestFit="1" customWidth="1"/>
    <col min="9" max="9" width="11.5703125" style="48" bestFit="1" customWidth="1"/>
    <col min="10" max="10" width="20.140625" style="48" bestFit="1" customWidth="1"/>
    <col min="11" max="11" width="16.5703125" style="48" bestFit="1" customWidth="1"/>
    <col min="12" max="16384" width="11.42578125" style="48"/>
  </cols>
  <sheetData>
    <row r="1" spans="1:11" s="273" customFormat="1" ht="15" customHeight="1">
      <c r="B1" s="1"/>
      <c r="C1" s="1"/>
      <c r="D1" s="64" t="s">
        <v>48</v>
      </c>
    </row>
    <row r="2" spans="1:11" s="273" customFormat="1" ht="15" customHeight="1">
      <c r="B2" s="1"/>
      <c r="C2" s="1"/>
      <c r="D2" s="6" t="s">
        <v>42</v>
      </c>
    </row>
    <row r="3" spans="1:11" s="273" customFormat="1" ht="15" customHeight="1">
      <c r="B3" s="1"/>
      <c r="C3" s="1"/>
      <c r="D3" s="1"/>
    </row>
    <row r="4" spans="1:11" s="273" customFormat="1" ht="12.75" customHeight="1">
      <c r="B4" s="1"/>
      <c r="C4" s="1"/>
      <c r="D4" s="1"/>
    </row>
    <row r="5" spans="1:11" s="273" customFormat="1" ht="23.25" customHeight="1">
      <c r="A5" s="81" t="s">
        <v>224</v>
      </c>
      <c r="B5" s="81"/>
      <c r="C5" s="81"/>
      <c r="D5" s="81"/>
    </row>
    <row r="6" spans="1:11" s="273" customFormat="1" ht="25.5" customHeight="1">
      <c r="A6" s="117" t="s">
        <v>198</v>
      </c>
      <c r="C6" s="65"/>
      <c r="D6" s="65"/>
    </row>
    <row r="7" spans="1:11" s="273" customFormat="1" ht="12.75" customHeight="1">
      <c r="A7" s="71"/>
      <c r="B7" s="365"/>
      <c r="C7" s="365"/>
      <c r="D7" s="365"/>
    </row>
    <row r="8" spans="1:11" s="114" customFormat="1" ht="30">
      <c r="A8" s="285" t="s">
        <v>45</v>
      </c>
      <c r="B8" s="128" t="s">
        <v>225</v>
      </c>
      <c r="C8" s="128" t="s">
        <v>226</v>
      </c>
      <c r="D8" s="128" t="s">
        <v>227</v>
      </c>
      <c r="E8" s="131"/>
      <c r="F8" s="115"/>
      <c r="G8" s="115"/>
      <c r="H8" s="115"/>
      <c r="I8" s="115"/>
      <c r="J8" s="115"/>
      <c r="K8" s="115"/>
    </row>
    <row r="9" spans="1:11" ht="15.75" hidden="1">
      <c r="A9" s="111" t="s">
        <v>39</v>
      </c>
      <c r="B9" s="118"/>
      <c r="C9" s="118"/>
      <c r="D9" s="118"/>
      <c r="E9" s="273"/>
      <c r="F9" s="273"/>
      <c r="G9" s="273"/>
      <c r="H9" s="273"/>
      <c r="I9" s="273"/>
      <c r="J9" s="273"/>
      <c r="K9" s="273"/>
    </row>
    <row r="10" spans="1:11" ht="15.75">
      <c r="A10" s="121">
        <v>2018</v>
      </c>
      <c r="B10" s="185">
        <v>55000</v>
      </c>
      <c r="C10" s="185">
        <v>50568.584999999999</v>
      </c>
      <c r="D10" s="183">
        <v>91.942881818181817</v>
      </c>
      <c r="E10" s="273"/>
      <c r="F10" s="273"/>
      <c r="G10" s="273"/>
      <c r="H10" s="273"/>
      <c r="I10" s="273"/>
      <c r="J10" s="273"/>
      <c r="K10" s="273"/>
    </row>
    <row r="11" spans="1:11" ht="15.75">
      <c r="A11" s="121">
        <v>2019</v>
      </c>
      <c r="B11" s="185">
        <v>48713.574999999997</v>
      </c>
      <c r="C11" s="185">
        <v>47548.292999999998</v>
      </c>
      <c r="D11" s="183">
        <v>97.607890613653382</v>
      </c>
      <c r="E11" s="273"/>
      <c r="F11" s="273"/>
      <c r="G11" s="273"/>
      <c r="H11" s="273"/>
      <c r="I11" s="273"/>
      <c r="J11" s="273"/>
      <c r="K11" s="273"/>
    </row>
    <row r="12" spans="1:11" ht="15.75">
      <c r="A12" s="121">
        <v>2020</v>
      </c>
      <c r="B12" s="185">
        <v>40000</v>
      </c>
      <c r="C12" s="185">
        <v>33390.084999999999</v>
      </c>
      <c r="D12" s="183">
        <v>83.475212499999998</v>
      </c>
      <c r="E12" s="273"/>
      <c r="F12" s="273"/>
      <c r="G12" s="273"/>
      <c r="H12" s="273"/>
      <c r="I12" s="273"/>
      <c r="J12" s="273"/>
      <c r="K12" s="273"/>
    </row>
    <row r="13" spans="1:11" ht="15.75">
      <c r="A13" s="121">
        <v>2021</v>
      </c>
      <c r="B13" s="185">
        <v>40000</v>
      </c>
      <c r="C13" s="185">
        <v>27668.057000000001</v>
      </c>
      <c r="D13" s="183">
        <v>69.170142499999997</v>
      </c>
      <c r="E13" s="273"/>
      <c r="F13" s="273"/>
      <c r="G13" s="273"/>
      <c r="H13" s="273"/>
      <c r="I13" s="273"/>
      <c r="J13" s="273"/>
      <c r="K13" s="273"/>
    </row>
    <row r="14" spans="1:11" ht="15.75">
      <c r="A14" s="121">
        <v>2022</v>
      </c>
      <c r="B14" s="185">
        <v>45000</v>
      </c>
      <c r="C14" s="185">
        <v>39503.966999999997</v>
      </c>
      <c r="D14" s="183">
        <v>87.786593333333329</v>
      </c>
      <c r="E14" s="273"/>
      <c r="F14" s="273"/>
      <c r="G14" s="273"/>
      <c r="H14" s="273"/>
      <c r="I14" s="273"/>
      <c r="J14" s="273"/>
      <c r="K14" s="273"/>
    </row>
    <row r="15" spans="1:11" ht="20.25" customHeight="1">
      <c r="A15" s="120" t="s">
        <v>314</v>
      </c>
      <c r="B15" s="186">
        <f>GETPIVOTDATA("Ingresos Propios Programados",$A$8,"entidad","Oficinas Nacionales","Año",2022)-GETPIVOTDATA("Ingresos Propios Programados",$A$8,"entidad","Oficinas Nacionales","Año",2021)</f>
        <v>5000</v>
      </c>
      <c r="C15" s="186">
        <f>GETPIVOTDATA("Ingresos Propios captados",$A$8,"entidad","Oficinas Nacionales","Año",2022)-GETPIVOTDATA("Ingresos Propios captados",$A$8,"entidad","Oficinas Nacionales","Año",2021)</f>
        <v>11835.909999999996</v>
      </c>
      <c r="D15" s="119">
        <f>GETPIVOTDATA("Captación de Ingresos Propios",$A$8,"entidad","Oficinas Nacionales","Año",2022)-GETPIVOTDATA("Captación de Ingresos Propios",$A$8,"entidad","Oficinas Nacionales","Año",2021)</f>
        <v>18.616450833333332</v>
      </c>
      <c r="E15" s="273"/>
      <c r="F15" s="273"/>
      <c r="G15" s="273"/>
      <c r="H15" s="273"/>
      <c r="I15" s="273"/>
      <c r="J15" s="273"/>
      <c r="K15" s="273"/>
    </row>
    <row r="16" spans="1:11" ht="15">
      <c r="A16" s="273"/>
      <c r="B16" s="273"/>
      <c r="C16" s="273"/>
      <c r="D16" s="273"/>
      <c r="E16" s="273"/>
      <c r="F16" s="273"/>
      <c r="G16" s="273"/>
      <c r="H16" s="273"/>
      <c r="I16" s="273"/>
      <c r="J16" s="273"/>
      <c r="K16" s="273"/>
    </row>
    <row r="17" spans="1:11" ht="17.25" customHeight="1">
      <c r="A17" s="273" t="str">
        <f>A8</f>
        <v>Año</v>
      </c>
      <c r="B17" s="273" t="str">
        <f>B8</f>
        <v>Ingresos Propios Programados</v>
      </c>
      <c r="C17" s="273" t="str">
        <f>C8</f>
        <v>Ingresos Propios captados</v>
      </c>
      <c r="D17" s="127" t="str">
        <f>D8</f>
        <v>Captación de Ingresos Propios</v>
      </c>
      <c r="E17" s="273"/>
      <c r="F17" s="273"/>
      <c r="G17" s="273"/>
      <c r="H17" s="273"/>
      <c r="I17" s="273"/>
      <c r="J17" s="273"/>
      <c r="K17" s="273"/>
    </row>
    <row r="18" spans="1:11" ht="15">
      <c r="A18" s="273">
        <f t="shared" ref="A18:D22" si="0">A10</f>
        <v>2018</v>
      </c>
      <c r="B18" s="273">
        <f t="shared" si="0"/>
        <v>55000</v>
      </c>
      <c r="C18" s="273">
        <f t="shared" si="0"/>
        <v>50568.584999999999</v>
      </c>
      <c r="D18" s="273">
        <f t="shared" si="0"/>
        <v>91.942881818181817</v>
      </c>
      <c r="E18" s="273"/>
      <c r="F18" s="273"/>
      <c r="G18" s="273"/>
      <c r="H18" s="273"/>
      <c r="I18" s="273"/>
      <c r="J18" s="273"/>
      <c r="K18" s="273"/>
    </row>
    <row r="19" spans="1:11" ht="15">
      <c r="A19" s="273">
        <f t="shared" si="0"/>
        <v>2019</v>
      </c>
      <c r="B19" s="273">
        <f t="shared" si="0"/>
        <v>48713.574999999997</v>
      </c>
      <c r="C19" s="273">
        <f t="shared" si="0"/>
        <v>47548.292999999998</v>
      </c>
      <c r="D19" s="273">
        <f t="shared" si="0"/>
        <v>97.607890613653382</v>
      </c>
      <c r="E19" s="273"/>
      <c r="F19" s="273"/>
      <c r="G19" s="273"/>
      <c r="H19" s="273"/>
      <c r="I19" s="273"/>
      <c r="J19" s="273"/>
      <c r="K19" s="273"/>
    </row>
    <row r="20" spans="1:11" ht="15">
      <c r="A20" s="273">
        <f t="shared" si="0"/>
        <v>2020</v>
      </c>
      <c r="B20" s="273">
        <f t="shared" si="0"/>
        <v>40000</v>
      </c>
      <c r="C20" s="273">
        <f t="shared" si="0"/>
        <v>33390.084999999999</v>
      </c>
      <c r="D20" s="273">
        <f t="shared" si="0"/>
        <v>83.475212499999998</v>
      </c>
      <c r="E20" s="273"/>
      <c r="F20" s="273"/>
      <c r="G20" s="273"/>
      <c r="H20" s="273"/>
      <c r="I20" s="273"/>
      <c r="J20" s="273"/>
      <c r="K20" s="273"/>
    </row>
    <row r="21" spans="1:11" ht="15">
      <c r="A21" s="273">
        <f t="shared" si="0"/>
        <v>2021</v>
      </c>
      <c r="B21" s="273">
        <f t="shared" si="0"/>
        <v>40000</v>
      </c>
      <c r="C21" s="273">
        <f t="shared" si="0"/>
        <v>27668.057000000001</v>
      </c>
      <c r="D21" s="273">
        <f t="shared" si="0"/>
        <v>69.170142499999997</v>
      </c>
      <c r="E21" s="273"/>
      <c r="F21" s="273"/>
      <c r="G21" s="273"/>
      <c r="H21" s="273"/>
      <c r="I21" s="273"/>
      <c r="J21" s="273"/>
      <c r="K21" s="273"/>
    </row>
    <row r="22" spans="1:11" ht="15">
      <c r="A22" s="273">
        <f t="shared" si="0"/>
        <v>2022</v>
      </c>
      <c r="B22" s="273">
        <f t="shared" si="0"/>
        <v>45000</v>
      </c>
      <c r="C22" s="273">
        <f t="shared" si="0"/>
        <v>39503.966999999997</v>
      </c>
      <c r="D22" s="273">
        <f t="shared" si="0"/>
        <v>87.786593333333329</v>
      </c>
      <c r="E22" s="273"/>
      <c r="F22" s="273"/>
      <c r="G22" s="273"/>
      <c r="H22" s="273"/>
      <c r="I22" s="273"/>
      <c r="J22" s="273"/>
      <c r="K22" s="273"/>
    </row>
    <row r="23" spans="1:11" ht="15">
      <c r="A23" s="273" t="e">
        <f>#REF!</f>
        <v>#REF!</v>
      </c>
      <c r="B23" s="273" t="e">
        <f>#REF!</f>
        <v>#REF!</v>
      </c>
      <c r="C23" s="273" t="e">
        <f>#REF!</f>
        <v>#REF!</v>
      </c>
      <c r="D23" s="273" t="e">
        <f>#REF!</f>
        <v>#REF!</v>
      </c>
      <c r="E23" s="273"/>
      <c r="F23" s="273"/>
      <c r="G23" s="273"/>
      <c r="H23" s="273"/>
      <c r="I23" s="273"/>
      <c r="J23" s="273"/>
      <c r="K23" s="273"/>
    </row>
    <row r="24" spans="1:11" ht="15">
      <c r="A24" s="273" t="e">
        <f>#REF!</f>
        <v>#REF!</v>
      </c>
      <c r="B24" s="273" t="e">
        <f>#REF!</f>
        <v>#REF!</v>
      </c>
      <c r="C24" s="273" t="e">
        <f>#REF!</f>
        <v>#REF!</v>
      </c>
      <c r="D24" s="273" t="e">
        <f>#REF!</f>
        <v>#REF!</v>
      </c>
      <c r="E24" s="273"/>
      <c r="F24" s="273"/>
      <c r="G24" s="273"/>
      <c r="H24" s="273"/>
      <c r="I24" s="273"/>
      <c r="J24" s="273"/>
      <c r="K24" s="273"/>
    </row>
    <row r="25" spans="1:11" ht="15">
      <c r="A25" s="273" t="e">
        <f>#REF!</f>
        <v>#REF!</v>
      </c>
      <c r="B25" s="273" t="e">
        <f>#REF!</f>
        <v>#REF!</v>
      </c>
      <c r="C25" s="273" t="e">
        <f>#REF!</f>
        <v>#REF!</v>
      </c>
      <c r="D25" s="273" t="e">
        <f>#REF!</f>
        <v>#REF!</v>
      </c>
      <c r="E25" s="273"/>
      <c r="F25" s="273"/>
      <c r="G25" s="273"/>
      <c r="H25" s="273"/>
      <c r="I25" s="273"/>
      <c r="J25" s="273"/>
      <c r="K25" s="273"/>
    </row>
    <row r="26" spans="1:11" ht="15">
      <c r="A26" s="273"/>
      <c r="B26" s="273"/>
      <c r="C26" s="273"/>
      <c r="D26" s="273"/>
      <c r="E26" s="273"/>
      <c r="F26" s="273"/>
      <c r="G26" s="273"/>
      <c r="H26" s="273"/>
      <c r="I26" s="273"/>
      <c r="J26" s="273"/>
      <c r="K26" s="273"/>
    </row>
    <row r="27" spans="1:11" ht="15">
      <c r="A27" s="273"/>
      <c r="B27" s="273"/>
      <c r="C27" s="273"/>
      <c r="D27" s="273"/>
      <c r="E27" s="273"/>
      <c r="F27" s="273"/>
      <c r="G27" s="273"/>
      <c r="H27" s="273"/>
      <c r="I27" s="273"/>
      <c r="J27" s="273"/>
      <c r="K27" s="273"/>
    </row>
    <row r="28" spans="1:11" ht="15">
      <c r="A28" s="273"/>
      <c r="B28" s="273"/>
      <c r="C28" s="273"/>
      <c r="D28" s="273"/>
      <c r="E28" s="273"/>
      <c r="F28" s="273"/>
      <c r="G28" s="273"/>
      <c r="H28" s="273"/>
      <c r="I28" s="273"/>
      <c r="J28" s="273"/>
      <c r="K28" s="273"/>
    </row>
    <row r="29" spans="1:11" ht="15">
      <c r="A29" s="273"/>
      <c r="B29" s="273"/>
      <c r="C29" s="273"/>
      <c r="D29" s="273"/>
      <c r="E29" s="273"/>
      <c r="F29" s="273"/>
      <c r="G29" s="273"/>
      <c r="H29" s="273"/>
      <c r="I29" s="273"/>
      <c r="J29" s="273"/>
      <c r="K29" s="273"/>
    </row>
    <row r="30" spans="1:11" ht="15">
      <c r="A30" s="273"/>
      <c r="B30" s="273"/>
      <c r="C30" s="273"/>
      <c r="D30" s="273"/>
      <c r="E30" s="273"/>
      <c r="F30" s="273"/>
      <c r="G30" s="273"/>
      <c r="H30" s="273"/>
      <c r="I30" s="273"/>
      <c r="J30" s="273"/>
      <c r="K30" s="273"/>
    </row>
    <row r="31" spans="1:11" ht="15">
      <c r="A31" s="273"/>
      <c r="B31" s="273"/>
      <c r="C31" s="273"/>
      <c r="D31" s="273"/>
      <c r="E31" s="273"/>
      <c r="F31" s="273"/>
      <c r="G31" s="273"/>
      <c r="H31" s="273"/>
      <c r="I31" s="273"/>
      <c r="J31" s="273"/>
      <c r="K31" s="273"/>
    </row>
    <row r="32" spans="1:11" ht="15">
      <c r="A32" s="273"/>
      <c r="B32" s="273"/>
      <c r="C32" s="273"/>
      <c r="D32" s="273"/>
      <c r="E32" s="273"/>
      <c r="F32" s="273"/>
      <c r="G32" s="273"/>
      <c r="H32" s="273"/>
      <c r="I32" s="273"/>
      <c r="J32" s="273"/>
      <c r="K32" s="273"/>
    </row>
    <row r="33" spans="1:11" ht="15">
      <c r="A33" s="273"/>
      <c r="B33" s="273"/>
      <c r="C33" s="273"/>
      <c r="D33" s="273"/>
      <c r="E33" s="273"/>
      <c r="F33" s="273"/>
      <c r="G33" s="273"/>
      <c r="H33" s="273"/>
      <c r="I33" s="273"/>
      <c r="J33" s="273"/>
      <c r="K33" s="273"/>
    </row>
    <row r="34" spans="1:11" ht="15">
      <c r="A34" s="273"/>
      <c r="B34" s="273"/>
      <c r="C34" s="273"/>
      <c r="D34" s="273"/>
      <c r="E34" s="273"/>
      <c r="F34" s="273"/>
      <c r="G34" s="273"/>
      <c r="H34" s="273"/>
      <c r="I34" s="273"/>
      <c r="J34" s="273"/>
      <c r="K34" s="273"/>
    </row>
    <row r="35" spans="1:11" ht="15">
      <c r="A35" s="273"/>
      <c r="B35" s="273"/>
      <c r="C35" s="273"/>
      <c r="D35" s="273"/>
      <c r="E35" s="273"/>
      <c r="F35" s="273"/>
      <c r="G35" s="273"/>
      <c r="H35" s="273"/>
      <c r="I35" s="273"/>
      <c r="J35" s="273"/>
      <c r="K35" s="273"/>
    </row>
    <row r="36" spans="1:11" ht="15">
      <c r="A36" s="273"/>
      <c r="B36" s="273"/>
      <c r="C36" s="273"/>
      <c r="D36" s="273"/>
      <c r="E36" s="273"/>
      <c r="F36" s="273"/>
      <c r="G36" s="273"/>
      <c r="H36" s="273"/>
      <c r="I36" s="273"/>
      <c r="J36" s="273"/>
      <c r="K36" s="273"/>
    </row>
    <row r="37" spans="1:11" ht="15">
      <c r="A37" s="273"/>
      <c r="B37" s="273"/>
      <c r="C37" s="273"/>
      <c r="D37" s="273"/>
      <c r="E37" s="273"/>
      <c r="F37" s="273"/>
      <c r="G37" s="273"/>
      <c r="H37" s="273"/>
      <c r="I37" s="273"/>
      <c r="J37" s="273"/>
      <c r="K37" s="273"/>
    </row>
    <row r="38" spans="1:11" ht="15">
      <c r="A38" s="273"/>
      <c r="B38" s="273"/>
      <c r="C38" s="273"/>
      <c r="D38" s="273"/>
      <c r="E38" s="273"/>
      <c r="F38" s="273"/>
      <c r="G38" s="273"/>
      <c r="H38" s="273"/>
      <c r="I38" s="273"/>
      <c r="J38" s="273"/>
      <c r="K38" s="273"/>
    </row>
    <row r="39" spans="1:11" ht="15">
      <c r="A39" s="273"/>
      <c r="B39" s="273"/>
      <c r="C39" s="273"/>
      <c r="D39" s="273"/>
      <c r="E39" s="273"/>
      <c r="F39" s="273"/>
      <c r="G39" s="273"/>
      <c r="H39" s="273"/>
      <c r="I39" s="273"/>
      <c r="J39" s="273"/>
      <c r="K39" s="273"/>
    </row>
    <row r="40" spans="1:11" ht="15" hidden="1">
      <c r="A40" s="273"/>
      <c r="B40" s="273"/>
      <c r="C40" s="273"/>
      <c r="D40" s="273"/>
      <c r="E40" s="273"/>
      <c r="F40" s="273"/>
      <c r="G40" s="273"/>
      <c r="H40" s="273"/>
      <c r="I40" s="273"/>
      <c r="J40" s="273"/>
      <c r="K40" s="273"/>
    </row>
    <row r="41" spans="1:11" ht="15" hidden="1">
      <c r="A41" s="273"/>
      <c r="B41" s="273"/>
      <c r="C41" s="273"/>
      <c r="D41" s="273"/>
      <c r="E41" s="273"/>
      <c r="F41" s="273"/>
      <c r="G41" s="273"/>
      <c r="H41" s="273"/>
      <c r="I41" s="273"/>
      <c r="J41" s="273"/>
      <c r="K41" s="273"/>
    </row>
    <row r="42" spans="1:11" ht="15" hidden="1">
      <c r="A42" s="273"/>
      <c r="B42" s="273"/>
      <c r="C42" s="273"/>
      <c r="D42" s="273"/>
    </row>
    <row r="43" spans="1:11" ht="15" hidden="1">
      <c r="A43" s="273"/>
      <c r="B43" s="273"/>
      <c r="C43" s="273"/>
      <c r="D43" s="273"/>
    </row>
    <row r="44" spans="1:11" ht="9" customHeight="1">
      <c r="A44" s="273"/>
      <c r="B44" s="273"/>
      <c r="C44" s="273"/>
      <c r="D44" s="273"/>
    </row>
    <row r="45" spans="1:11" ht="18.75" customHeight="1">
      <c r="A45" s="201" t="s">
        <v>202</v>
      </c>
      <c r="B45" s="85"/>
      <c r="C45" s="85"/>
      <c r="D45" s="85"/>
    </row>
  </sheetData>
  <mergeCells count="1">
    <mergeCell ref="B7:D7"/>
  </mergeCells>
  <pageMargins left="0.51181102362204722" right="0.51181102362204722" top="1.1417322834645669" bottom="0.55118110236220474" header="0.31496062992125984" footer="0.31496062992125984"/>
  <pageSetup paperSize="9" scale="99"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M59"/>
  <sheetViews>
    <sheetView showGridLines="0" zoomScale="120" zoomScaleNormal="120" workbookViewId="0">
      <selection activeCell="I17" sqref="I17"/>
    </sheetView>
  </sheetViews>
  <sheetFormatPr baseColWidth="10" defaultColWidth="11.42578125" defaultRowHeight="13.5"/>
  <cols>
    <col min="1" max="1" width="23.42578125" style="48" customWidth="1"/>
    <col min="2" max="9" width="8.7109375" style="48" customWidth="1"/>
    <col min="10" max="10" width="15.140625" style="48" bestFit="1" customWidth="1"/>
    <col min="11" max="11" width="11.5703125" style="48" bestFit="1" customWidth="1"/>
    <col min="12" max="12" width="15.140625" style="48" bestFit="1" customWidth="1"/>
    <col min="13" max="13" width="11.5703125" style="48" bestFit="1" customWidth="1"/>
    <col min="14" max="14" width="20.140625" style="48" bestFit="1" customWidth="1"/>
    <col min="15" max="15" width="16.5703125" style="48" bestFit="1" customWidth="1"/>
    <col min="16" max="16384" width="11.42578125" style="48"/>
  </cols>
  <sheetData>
    <row r="1" spans="1:9" s="3" customFormat="1" ht="15" customHeight="1">
      <c r="B1" s="1"/>
      <c r="C1" s="1"/>
      <c r="D1" s="1"/>
      <c r="E1" s="1"/>
      <c r="F1" s="1"/>
      <c r="G1" s="1"/>
      <c r="I1" s="64" t="s">
        <v>48</v>
      </c>
    </row>
    <row r="2" spans="1:9" s="3" customFormat="1" ht="15" customHeight="1">
      <c r="B2" s="1"/>
      <c r="C2" s="1"/>
      <c r="D2" s="1"/>
      <c r="E2" s="1"/>
      <c r="F2" s="1"/>
      <c r="G2" s="1"/>
      <c r="I2" s="6" t="s">
        <v>42</v>
      </c>
    </row>
    <row r="3" spans="1:9" s="3" customFormat="1" ht="15" customHeight="1">
      <c r="B3" s="1"/>
      <c r="C3" s="1"/>
      <c r="D3" s="1"/>
      <c r="E3" s="1"/>
      <c r="F3" s="1"/>
      <c r="G3" s="1"/>
      <c r="H3" s="63"/>
    </row>
    <row r="4" spans="1:9" s="3" customFormat="1" ht="9" customHeight="1">
      <c r="B4" s="1"/>
      <c r="C4" s="1"/>
      <c r="D4" s="1"/>
      <c r="E4" s="1"/>
      <c r="F4" s="1"/>
      <c r="G4" s="1"/>
      <c r="H4" s="63"/>
    </row>
    <row r="5" spans="1:9" s="3" customFormat="1" ht="15" customHeight="1">
      <c r="A5" s="371" t="s">
        <v>194</v>
      </c>
      <c r="B5" s="371"/>
      <c r="C5" s="371"/>
      <c r="D5" s="371"/>
      <c r="E5" s="371"/>
      <c r="F5" s="371"/>
      <c r="G5" s="371"/>
      <c r="H5" s="371"/>
      <c r="I5" s="371"/>
    </row>
    <row r="6" spans="1:9" s="3" customFormat="1" ht="8.1" customHeight="1">
      <c r="A6" s="5"/>
      <c r="B6" s="63"/>
      <c r="C6" s="65"/>
      <c r="D6" s="65"/>
      <c r="E6" s="66"/>
      <c r="F6" s="66"/>
      <c r="G6" s="66"/>
      <c r="H6" s="66"/>
    </row>
    <row r="7" spans="1:9" s="68" customFormat="1" ht="15" customHeight="1">
      <c r="A7" s="76" t="s">
        <v>45</v>
      </c>
      <c r="B7" s="76" t="s">
        <v>0</v>
      </c>
      <c r="C7" s="67"/>
      <c r="D7" s="67"/>
      <c r="E7" s="63"/>
      <c r="F7" s="63"/>
      <c r="G7" s="63"/>
      <c r="H7" s="63"/>
    </row>
    <row r="8" spans="1:9" s="68" customFormat="1" ht="15" customHeight="1">
      <c r="A8" s="267">
        <v>2013</v>
      </c>
      <c r="B8" s="268">
        <f>$B$57</f>
        <v>0</v>
      </c>
      <c r="C8" s="69"/>
      <c r="D8" s="67"/>
      <c r="E8" s="63"/>
      <c r="F8" s="63"/>
      <c r="G8" s="63"/>
      <c r="H8" s="63"/>
    </row>
    <row r="9" spans="1:9" s="68" customFormat="1" ht="15" customHeight="1">
      <c r="A9" s="77">
        <v>2014</v>
      </c>
      <c r="B9" s="96">
        <f>$C$57</f>
        <v>0</v>
      </c>
      <c r="C9" s="67"/>
      <c r="D9" s="67"/>
      <c r="E9" s="63"/>
      <c r="F9" s="63"/>
      <c r="G9" s="63"/>
      <c r="H9" s="63"/>
    </row>
    <row r="10" spans="1:9" s="68" customFormat="1" ht="15" customHeight="1">
      <c r="A10" s="77">
        <v>2015</v>
      </c>
      <c r="B10" s="96">
        <f>$D$57</f>
        <v>0</v>
      </c>
      <c r="C10" s="67"/>
      <c r="D10" s="67"/>
      <c r="E10" s="63"/>
      <c r="F10" s="63"/>
      <c r="G10" s="63"/>
      <c r="H10" s="63"/>
    </row>
    <row r="11" spans="1:9" s="68" customFormat="1" ht="15" customHeight="1">
      <c r="A11" s="77">
        <v>2016</v>
      </c>
      <c r="B11" s="96">
        <f>$E$57</f>
        <v>0</v>
      </c>
      <c r="C11" s="67"/>
      <c r="D11" s="67"/>
      <c r="E11" s="63"/>
      <c r="F11" s="63"/>
      <c r="G11" s="63"/>
      <c r="H11" s="63"/>
    </row>
    <row r="12" spans="1:9" s="68" customFormat="1" ht="15" customHeight="1">
      <c r="A12" s="77">
        <v>2017</v>
      </c>
      <c r="B12" s="96">
        <f>$F$57</f>
        <v>0</v>
      </c>
      <c r="C12" s="67"/>
      <c r="D12" s="67"/>
      <c r="E12" s="63"/>
      <c r="F12" s="63"/>
      <c r="G12" s="63"/>
      <c r="H12" s="63"/>
    </row>
    <row r="13" spans="1:9" s="68" customFormat="1" ht="15" customHeight="1">
      <c r="A13" s="77">
        <v>2018</v>
      </c>
      <c r="B13" s="96">
        <f>$G$57</f>
        <v>0</v>
      </c>
      <c r="C13" s="67"/>
      <c r="D13" s="67"/>
      <c r="E13" s="63"/>
      <c r="F13" s="63"/>
      <c r="G13" s="63"/>
      <c r="H13" s="63"/>
    </row>
    <row r="14" spans="1:9" s="68" customFormat="1" ht="15" customHeight="1">
      <c r="A14" s="77">
        <v>2019</v>
      </c>
      <c r="B14" s="96">
        <f>$H$57</f>
        <v>0</v>
      </c>
      <c r="C14" s="67"/>
      <c r="D14" s="67"/>
      <c r="E14" s="63"/>
      <c r="F14" s="63"/>
      <c r="G14" s="63"/>
      <c r="H14" s="63"/>
    </row>
    <row r="15" spans="1:9" s="68" customFormat="1" ht="15" customHeight="1">
      <c r="A15" s="77">
        <v>2020</v>
      </c>
      <c r="B15" s="96">
        <f>$I$57</f>
        <v>0</v>
      </c>
      <c r="C15" s="67"/>
      <c r="D15" s="67"/>
      <c r="E15" s="63"/>
      <c r="F15" s="63"/>
      <c r="G15" s="63"/>
      <c r="H15" s="63"/>
    </row>
    <row r="16" spans="1:9" s="68" customFormat="1" ht="15" customHeight="1">
      <c r="A16" s="79" t="s">
        <v>260</v>
      </c>
      <c r="B16" s="96">
        <f>B15-B14</f>
        <v>0</v>
      </c>
      <c r="C16" s="67"/>
      <c r="D16" s="67"/>
      <c r="E16" s="63"/>
      <c r="F16" s="63"/>
      <c r="G16" s="63"/>
      <c r="H16" s="63"/>
    </row>
    <row r="17" spans="1:13" s="3" customFormat="1" ht="10.5" customHeight="1">
      <c r="A17" s="71"/>
      <c r="B17" s="365"/>
      <c r="C17" s="365"/>
      <c r="D17" s="365"/>
      <c r="E17" s="366"/>
      <c r="F17" s="366"/>
      <c r="G17" s="366"/>
      <c r="H17" s="109"/>
    </row>
    <row r="18" spans="1:13" ht="15" hidden="1">
      <c r="A18" s="83" t="s">
        <v>195</v>
      </c>
      <c r="B18" s="47" t="s">
        <v>45</v>
      </c>
      <c r="I18"/>
      <c r="J18"/>
      <c r="K18" s="2"/>
      <c r="L18" s="2"/>
      <c r="M18" s="2"/>
    </row>
    <row r="19" spans="1:13" ht="15">
      <c r="A19" s="47" t="s">
        <v>156</v>
      </c>
      <c r="B19" s="48">
        <v>2013</v>
      </c>
      <c r="C19" s="48">
        <v>2014</v>
      </c>
      <c r="D19" s="48">
        <v>2015</v>
      </c>
      <c r="E19" s="48">
        <v>2016</v>
      </c>
      <c r="F19" s="48">
        <v>2017</v>
      </c>
      <c r="G19" s="48">
        <v>2018</v>
      </c>
      <c r="H19" s="48">
        <v>2019</v>
      </c>
      <c r="I19"/>
      <c r="J19"/>
      <c r="K19" s="2"/>
      <c r="L19" s="2"/>
      <c r="M19" s="2"/>
    </row>
    <row r="20" spans="1:13" ht="15">
      <c r="A20" s="49" t="s">
        <v>49</v>
      </c>
      <c r="B20" s="75">
        <v>0</v>
      </c>
      <c r="C20" s="75">
        <v>0</v>
      </c>
      <c r="D20" s="75">
        <v>0</v>
      </c>
      <c r="E20" s="75">
        <v>0</v>
      </c>
      <c r="F20" s="75">
        <v>0</v>
      </c>
      <c r="G20" s="75">
        <v>0</v>
      </c>
      <c r="H20" s="75">
        <v>0</v>
      </c>
      <c r="I20"/>
      <c r="J20"/>
      <c r="K20" s="2"/>
      <c r="L20" s="2"/>
      <c r="M20" s="2"/>
    </row>
    <row r="21" spans="1:13" ht="15">
      <c r="A21" s="51" t="s">
        <v>1</v>
      </c>
      <c r="B21" s="75">
        <v>0</v>
      </c>
      <c r="C21" s="75">
        <v>0</v>
      </c>
      <c r="D21" s="75">
        <v>0</v>
      </c>
      <c r="E21" s="75">
        <v>0</v>
      </c>
      <c r="F21" s="75">
        <v>0</v>
      </c>
      <c r="G21" s="75">
        <v>0</v>
      </c>
      <c r="H21" s="75">
        <v>0</v>
      </c>
      <c r="I21"/>
      <c r="J21"/>
      <c r="K21" s="2"/>
      <c r="L21" s="2"/>
      <c r="M21" s="2"/>
    </row>
    <row r="22" spans="1:13" ht="15">
      <c r="A22" s="51" t="s">
        <v>3</v>
      </c>
      <c r="B22" s="75">
        <v>0</v>
      </c>
      <c r="C22" s="75">
        <v>0</v>
      </c>
      <c r="D22" s="75">
        <v>0</v>
      </c>
      <c r="E22" s="75">
        <v>0</v>
      </c>
      <c r="F22" s="75">
        <v>0</v>
      </c>
      <c r="G22" s="75">
        <v>0</v>
      </c>
      <c r="H22" s="75">
        <v>0</v>
      </c>
      <c r="I22"/>
      <c r="J22"/>
      <c r="K22" s="2"/>
      <c r="L22" s="2"/>
      <c r="M22" s="2"/>
    </row>
    <row r="23" spans="1:13" ht="15">
      <c r="A23" s="51" t="s">
        <v>4</v>
      </c>
      <c r="B23" s="75">
        <v>0</v>
      </c>
      <c r="C23" s="75">
        <v>0</v>
      </c>
      <c r="D23" s="75">
        <v>0</v>
      </c>
      <c r="E23" s="75">
        <v>0</v>
      </c>
      <c r="F23" s="75">
        <v>0</v>
      </c>
      <c r="G23" s="75">
        <v>0</v>
      </c>
      <c r="H23" s="75">
        <v>0</v>
      </c>
      <c r="I23"/>
      <c r="J23"/>
      <c r="K23" s="2"/>
      <c r="L23" s="2"/>
      <c r="M23" s="2"/>
    </row>
    <row r="24" spans="1:13" ht="15">
      <c r="A24" s="51" t="s">
        <v>5</v>
      </c>
      <c r="B24" s="75">
        <v>0</v>
      </c>
      <c r="C24" s="75">
        <v>0</v>
      </c>
      <c r="D24" s="75">
        <v>0</v>
      </c>
      <c r="E24" s="75">
        <v>0</v>
      </c>
      <c r="F24" s="75">
        <v>0</v>
      </c>
      <c r="G24" s="75">
        <v>0</v>
      </c>
      <c r="H24" s="75">
        <v>0</v>
      </c>
      <c r="I24"/>
      <c r="J24"/>
      <c r="K24" s="2"/>
      <c r="L24" s="2"/>
      <c r="M24" s="2"/>
    </row>
    <row r="25" spans="1:13" ht="15">
      <c r="A25" s="51" t="s">
        <v>6</v>
      </c>
      <c r="B25" s="75">
        <v>0</v>
      </c>
      <c r="C25" s="75">
        <v>0</v>
      </c>
      <c r="D25" s="75">
        <v>0</v>
      </c>
      <c r="E25" s="75">
        <v>0</v>
      </c>
      <c r="F25" s="75">
        <v>0</v>
      </c>
      <c r="G25" s="75">
        <v>0</v>
      </c>
      <c r="H25" s="75">
        <v>0</v>
      </c>
      <c r="I25"/>
      <c r="J25"/>
      <c r="K25" s="2"/>
      <c r="L25" s="2"/>
      <c r="M25" s="2"/>
    </row>
    <row r="26" spans="1:13" ht="15">
      <c r="A26" s="51" t="s">
        <v>7</v>
      </c>
      <c r="B26" s="75">
        <v>0</v>
      </c>
      <c r="C26" s="75">
        <v>0</v>
      </c>
      <c r="D26" s="75">
        <v>0</v>
      </c>
      <c r="E26" s="75">
        <v>0</v>
      </c>
      <c r="F26" s="75">
        <v>0</v>
      </c>
      <c r="G26" s="75">
        <v>0</v>
      </c>
      <c r="H26" s="75">
        <v>0</v>
      </c>
      <c r="I26"/>
      <c r="J26"/>
      <c r="K26" s="2"/>
      <c r="L26" s="2"/>
      <c r="M26" s="2"/>
    </row>
    <row r="27" spans="1:13" ht="15">
      <c r="A27" s="51" t="s">
        <v>31</v>
      </c>
      <c r="B27" s="75">
        <v>0</v>
      </c>
      <c r="C27" s="75">
        <v>0</v>
      </c>
      <c r="D27" s="75">
        <v>0</v>
      </c>
      <c r="E27" s="75">
        <v>0</v>
      </c>
      <c r="F27" s="75">
        <v>0</v>
      </c>
      <c r="G27" s="75">
        <v>0</v>
      </c>
      <c r="H27" s="75">
        <v>0</v>
      </c>
      <c r="I27"/>
      <c r="J27"/>
      <c r="K27" s="2"/>
      <c r="L27" s="2"/>
      <c r="M27" s="2"/>
    </row>
    <row r="28" spans="1:13" ht="15">
      <c r="A28" s="51" t="s">
        <v>8</v>
      </c>
      <c r="B28" s="75">
        <v>0</v>
      </c>
      <c r="C28" s="75">
        <v>0</v>
      </c>
      <c r="D28" s="75">
        <v>0</v>
      </c>
      <c r="E28" s="75">
        <v>0</v>
      </c>
      <c r="F28" s="75">
        <v>0</v>
      </c>
      <c r="G28" s="75">
        <v>0</v>
      </c>
      <c r="H28" s="75">
        <v>0</v>
      </c>
      <c r="I28"/>
      <c r="J28"/>
      <c r="K28" s="2"/>
      <c r="L28" s="2"/>
      <c r="M28" s="2"/>
    </row>
    <row r="29" spans="1:13" ht="15">
      <c r="A29" s="51" t="s">
        <v>9</v>
      </c>
      <c r="B29" s="75">
        <v>0</v>
      </c>
      <c r="C29" s="75">
        <v>0</v>
      </c>
      <c r="D29" s="75">
        <v>0</v>
      </c>
      <c r="E29" s="75">
        <v>0</v>
      </c>
      <c r="F29" s="75">
        <v>0</v>
      </c>
      <c r="G29" s="75">
        <v>0</v>
      </c>
      <c r="H29" s="75">
        <v>0</v>
      </c>
      <c r="I29"/>
      <c r="J29"/>
      <c r="K29" s="2"/>
      <c r="L29" s="2"/>
      <c r="M29" s="2"/>
    </row>
    <row r="30" spans="1:13" ht="15">
      <c r="A30" s="51" t="s">
        <v>10</v>
      </c>
      <c r="B30" s="75">
        <v>0</v>
      </c>
      <c r="C30" s="75">
        <v>0</v>
      </c>
      <c r="D30" s="75">
        <v>0</v>
      </c>
      <c r="E30" s="75">
        <v>0</v>
      </c>
      <c r="F30" s="75">
        <v>0</v>
      </c>
      <c r="G30" s="75">
        <v>0</v>
      </c>
      <c r="H30" s="75">
        <v>0</v>
      </c>
      <c r="I30"/>
      <c r="J30"/>
      <c r="K30" s="2"/>
      <c r="L30" s="2"/>
      <c r="M30" s="2"/>
    </row>
    <row r="31" spans="1:13" ht="15">
      <c r="A31" s="51" t="s">
        <v>11</v>
      </c>
      <c r="B31" s="75">
        <v>0</v>
      </c>
      <c r="C31" s="75">
        <v>0</v>
      </c>
      <c r="D31" s="75">
        <v>0</v>
      </c>
      <c r="E31" s="75">
        <v>0</v>
      </c>
      <c r="F31" s="75">
        <v>0</v>
      </c>
      <c r="G31" s="75">
        <v>0</v>
      </c>
      <c r="H31" s="75">
        <v>0</v>
      </c>
      <c r="I31"/>
      <c r="J31"/>
      <c r="K31" s="2"/>
      <c r="L31" s="2"/>
      <c r="M31" s="2"/>
    </row>
    <row r="32" spans="1:13" ht="15">
      <c r="A32" s="51" t="s">
        <v>12</v>
      </c>
      <c r="B32" s="75">
        <v>0</v>
      </c>
      <c r="C32" s="75">
        <v>0</v>
      </c>
      <c r="D32" s="75">
        <v>0</v>
      </c>
      <c r="E32" s="75">
        <v>0</v>
      </c>
      <c r="F32" s="75">
        <v>0</v>
      </c>
      <c r="G32" s="75">
        <v>0</v>
      </c>
      <c r="H32" s="75">
        <v>0</v>
      </c>
      <c r="I32"/>
      <c r="J32"/>
      <c r="K32" s="2"/>
      <c r="L32" s="2"/>
      <c r="M32" s="2"/>
    </row>
    <row r="33" spans="1:13" ht="15">
      <c r="A33" s="51" t="s">
        <v>13</v>
      </c>
      <c r="B33" s="75">
        <v>0</v>
      </c>
      <c r="C33" s="75">
        <v>0</v>
      </c>
      <c r="D33" s="75">
        <v>0</v>
      </c>
      <c r="E33" s="75">
        <v>0</v>
      </c>
      <c r="F33" s="75">
        <v>0</v>
      </c>
      <c r="G33" s="75">
        <v>0</v>
      </c>
      <c r="H33" s="75">
        <v>0</v>
      </c>
      <c r="I33"/>
      <c r="J33"/>
      <c r="K33" s="2"/>
      <c r="L33" s="2"/>
      <c r="M33" s="2"/>
    </row>
    <row r="34" spans="1:13" ht="15">
      <c r="A34" s="51" t="s">
        <v>14</v>
      </c>
      <c r="B34" s="75">
        <v>0</v>
      </c>
      <c r="C34" s="75">
        <v>0</v>
      </c>
      <c r="D34" s="75">
        <v>0</v>
      </c>
      <c r="E34" s="75">
        <v>0</v>
      </c>
      <c r="F34" s="75">
        <v>0</v>
      </c>
      <c r="G34" s="75">
        <v>0</v>
      </c>
      <c r="H34" s="75">
        <v>0</v>
      </c>
      <c r="I34"/>
      <c r="J34"/>
      <c r="K34" s="2"/>
      <c r="L34" s="2"/>
      <c r="M34" s="2"/>
    </row>
    <row r="35" spans="1:13" ht="15">
      <c r="A35" s="51" t="s">
        <v>30</v>
      </c>
      <c r="B35" s="75">
        <v>0</v>
      </c>
      <c r="C35" s="75">
        <v>0</v>
      </c>
      <c r="D35" s="75">
        <v>0</v>
      </c>
      <c r="E35" s="75">
        <v>0</v>
      </c>
      <c r="F35" s="75">
        <v>0</v>
      </c>
      <c r="G35" s="75">
        <v>0</v>
      </c>
      <c r="H35" s="75">
        <v>0</v>
      </c>
      <c r="I35"/>
      <c r="J35"/>
      <c r="K35" s="2"/>
      <c r="L35" s="2"/>
      <c r="M35" s="2"/>
    </row>
    <row r="36" spans="1:13" ht="15">
      <c r="A36" s="51" t="s">
        <v>15</v>
      </c>
      <c r="B36" s="75">
        <v>0</v>
      </c>
      <c r="C36" s="75">
        <v>0</v>
      </c>
      <c r="D36" s="75">
        <v>0</v>
      </c>
      <c r="E36" s="75">
        <v>0</v>
      </c>
      <c r="F36" s="75">
        <v>0</v>
      </c>
      <c r="G36" s="75">
        <v>0</v>
      </c>
      <c r="H36" s="75">
        <v>0</v>
      </c>
      <c r="I36"/>
      <c r="J36"/>
      <c r="K36" s="2"/>
      <c r="L36" s="2"/>
      <c r="M36" s="2"/>
    </row>
    <row r="37" spans="1:13" ht="15">
      <c r="A37" s="51" t="s">
        <v>16</v>
      </c>
      <c r="B37" s="75">
        <v>0</v>
      </c>
      <c r="C37" s="75">
        <v>0</v>
      </c>
      <c r="D37" s="75">
        <v>0</v>
      </c>
      <c r="E37" s="75">
        <v>0</v>
      </c>
      <c r="F37" s="75">
        <v>0</v>
      </c>
      <c r="G37" s="75">
        <v>0</v>
      </c>
      <c r="H37" s="75">
        <v>0</v>
      </c>
      <c r="I37"/>
      <c r="J37"/>
      <c r="K37" s="2"/>
      <c r="L37" s="2"/>
      <c r="M37" s="2"/>
    </row>
    <row r="38" spans="1:13" ht="15">
      <c r="A38" s="51" t="s">
        <v>17</v>
      </c>
      <c r="B38" s="75">
        <v>0</v>
      </c>
      <c r="C38" s="75">
        <v>0</v>
      </c>
      <c r="D38" s="75">
        <v>0</v>
      </c>
      <c r="E38" s="75">
        <v>0</v>
      </c>
      <c r="F38" s="75">
        <v>0</v>
      </c>
      <c r="G38" s="75">
        <v>0</v>
      </c>
      <c r="H38" s="75">
        <v>0</v>
      </c>
      <c r="I38"/>
      <c r="J38"/>
      <c r="K38" s="2"/>
      <c r="L38" s="2"/>
      <c r="M38" s="2"/>
    </row>
    <row r="39" spans="1:13" ht="15">
      <c r="A39" s="51" t="s">
        <v>18</v>
      </c>
      <c r="B39" s="75">
        <v>0</v>
      </c>
      <c r="C39" s="75">
        <v>0</v>
      </c>
      <c r="D39" s="75">
        <v>0</v>
      </c>
      <c r="E39" s="75">
        <v>0</v>
      </c>
      <c r="F39" s="75">
        <v>0</v>
      </c>
      <c r="G39" s="75">
        <v>0</v>
      </c>
      <c r="H39" s="75">
        <v>0</v>
      </c>
      <c r="I39"/>
      <c r="J39"/>
      <c r="K39" s="2"/>
      <c r="L39" s="2"/>
      <c r="M39" s="2"/>
    </row>
    <row r="40" spans="1:13" ht="15">
      <c r="A40" s="51" t="s">
        <v>29</v>
      </c>
      <c r="B40" s="75">
        <v>0</v>
      </c>
      <c r="C40" s="75">
        <v>0</v>
      </c>
      <c r="D40" s="75">
        <v>0</v>
      </c>
      <c r="E40" s="75">
        <v>0</v>
      </c>
      <c r="F40" s="75">
        <v>0</v>
      </c>
      <c r="G40" s="75">
        <v>0</v>
      </c>
      <c r="H40" s="75">
        <v>0</v>
      </c>
      <c r="I40"/>
      <c r="J40"/>
      <c r="K40" s="2"/>
      <c r="L40" s="2"/>
      <c r="M40" s="2"/>
    </row>
    <row r="41" spans="1:13" ht="15">
      <c r="A41" s="51" t="s">
        <v>19</v>
      </c>
      <c r="B41" s="75">
        <v>0</v>
      </c>
      <c r="C41" s="75">
        <v>0</v>
      </c>
      <c r="D41" s="75">
        <v>0</v>
      </c>
      <c r="E41" s="75">
        <v>0</v>
      </c>
      <c r="F41" s="75">
        <v>0</v>
      </c>
      <c r="G41" s="75">
        <v>0</v>
      </c>
      <c r="H41" s="75">
        <v>0</v>
      </c>
      <c r="I41"/>
      <c r="J41"/>
      <c r="K41" s="2"/>
      <c r="L41" s="2"/>
      <c r="M41" s="2"/>
    </row>
    <row r="42" spans="1:13" ht="15">
      <c r="A42" s="51" t="s">
        <v>20</v>
      </c>
      <c r="B42" s="75">
        <v>0</v>
      </c>
      <c r="C42" s="75">
        <v>0</v>
      </c>
      <c r="D42" s="75">
        <v>0</v>
      </c>
      <c r="E42" s="75">
        <v>0</v>
      </c>
      <c r="F42" s="75">
        <v>0</v>
      </c>
      <c r="G42" s="75">
        <v>0</v>
      </c>
      <c r="H42" s="75">
        <v>0</v>
      </c>
      <c r="I42"/>
      <c r="J42"/>
      <c r="K42" s="2"/>
      <c r="L42" s="2"/>
      <c r="M42" s="2"/>
    </row>
    <row r="43" spans="1:13" ht="15">
      <c r="A43" s="51" t="s">
        <v>21</v>
      </c>
      <c r="B43" s="75">
        <v>0</v>
      </c>
      <c r="C43" s="75">
        <v>0</v>
      </c>
      <c r="D43" s="75">
        <v>0</v>
      </c>
      <c r="E43" s="75">
        <v>0</v>
      </c>
      <c r="F43" s="75">
        <v>0</v>
      </c>
      <c r="G43" s="75">
        <v>0</v>
      </c>
      <c r="H43" s="75">
        <v>0</v>
      </c>
      <c r="I43"/>
      <c r="J43"/>
      <c r="K43" s="2"/>
      <c r="L43" s="2"/>
      <c r="M43" s="2"/>
    </row>
    <row r="44" spans="1:13" ht="15">
      <c r="A44" s="51" t="s">
        <v>22</v>
      </c>
      <c r="B44" s="75">
        <v>0</v>
      </c>
      <c r="C44" s="75">
        <v>0</v>
      </c>
      <c r="D44" s="75">
        <v>0</v>
      </c>
      <c r="E44" s="75">
        <v>0</v>
      </c>
      <c r="F44" s="75">
        <v>0</v>
      </c>
      <c r="G44" s="75">
        <v>0</v>
      </c>
      <c r="H44" s="75">
        <v>0</v>
      </c>
      <c r="I44"/>
      <c r="J44"/>
      <c r="K44" s="2"/>
      <c r="L44" s="2"/>
      <c r="M44" s="2"/>
    </row>
    <row r="45" spans="1:13" ht="15">
      <c r="A45" s="51" t="s">
        <v>23</v>
      </c>
      <c r="B45" s="75">
        <v>0</v>
      </c>
      <c r="C45" s="75">
        <v>0</v>
      </c>
      <c r="D45" s="75">
        <v>0</v>
      </c>
      <c r="E45" s="75">
        <v>0</v>
      </c>
      <c r="F45" s="75">
        <v>0</v>
      </c>
      <c r="G45" s="75">
        <v>0</v>
      </c>
      <c r="H45" s="75">
        <v>0</v>
      </c>
      <c r="I45"/>
      <c r="J45"/>
      <c r="K45" s="2"/>
      <c r="L45" s="2"/>
      <c r="M45" s="2"/>
    </row>
    <row r="46" spans="1:13" ht="15">
      <c r="A46" s="51" t="s">
        <v>24</v>
      </c>
      <c r="B46" s="75">
        <v>0</v>
      </c>
      <c r="C46" s="75">
        <v>0</v>
      </c>
      <c r="D46" s="75">
        <v>0</v>
      </c>
      <c r="E46" s="75">
        <v>0</v>
      </c>
      <c r="F46" s="75">
        <v>0</v>
      </c>
      <c r="G46" s="75">
        <v>0</v>
      </c>
      <c r="H46" s="75">
        <v>0</v>
      </c>
      <c r="I46"/>
      <c r="J46"/>
      <c r="K46" s="2"/>
      <c r="L46" s="2"/>
      <c r="M46" s="2"/>
    </row>
    <row r="47" spans="1:13" ht="15">
      <c r="A47" s="51" t="s">
        <v>25</v>
      </c>
      <c r="B47" s="75">
        <v>0</v>
      </c>
      <c r="C47" s="75">
        <v>0</v>
      </c>
      <c r="D47" s="75">
        <v>0</v>
      </c>
      <c r="E47" s="75">
        <v>0</v>
      </c>
      <c r="F47" s="75">
        <v>0</v>
      </c>
      <c r="G47" s="75">
        <v>0</v>
      </c>
      <c r="H47" s="75">
        <v>0</v>
      </c>
      <c r="I47"/>
      <c r="J47"/>
      <c r="K47" s="2"/>
      <c r="L47" s="2"/>
      <c r="M47" s="2"/>
    </row>
    <row r="48" spans="1:13" ht="15">
      <c r="A48" s="51" t="s">
        <v>53</v>
      </c>
      <c r="B48" s="75">
        <v>0</v>
      </c>
      <c r="C48" s="75">
        <v>0</v>
      </c>
      <c r="D48" s="75">
        <v>0</v>
      </c>
      <c r="E48" s="75">
        <v>0</v>
      </c>
      <c r="F48" s="75">
        <v>0</v>
      </c>
      <c r="G48" s="75">
        <v>0</v>
      </c>
      <c r="H48" s="75">
        <v>0</v>
      </c>
      <c r="I48"/>
      <c r="J48"/>
      <c r="K48" s="2"/>
      <c r="L48" s="2"/>
      <c r="M48" s="2"/>
    </row>
    <row r="49" spans="1:13" ht="15">
      <c r="A49" s="51" t="s">
        <v>26</v>
      </c>
      <c r="B49" s="75">
        <v>0</v>
      </c>
      <c r="C49" s="75">
        <v>0</v>
      </c>
      <c r="D49" s="75">
        <v>0</v>
      </c>
      <c r="E49" s="75">
        <v>0</v>
      </c>
      <c r="F49" s="75">
        <v>0</v>
      </c>
      <c r="G49" s="75">
        <v>0</v>
      </c>
      <c r="H49" s="75">
        <v>0</v>
      </c>
      <c r="I49"/>
      <c r="J49"/>
      <c r="K49" s="2"/>
      <c r="L49" s="2"/>
      <c r="M49" s="2"/>
    </row>
    <row r="50" spans="1:13" ht="15">
      <c r="A50" s="51" t="s">
        <v>27</v>
      </c>
      <c r="B50" s="75">
        <v>0</v>
      </c>
      <c r="C50" s="75">
        <v>0</v>
      </c>
      <c r="D50" s="75">
        <v>0</v>
      </c>
      <c r="E50" s="75">
        <v>0</v>
      </c>
      <c r="F50" s="75">
        <v>0</v>
      </c>
      <c r="G50" s="75">
        <v>0</v>
      </c>
      <c r="H50" s="75">
        <v>0</v>
      </c>
      <c r="I50"/>
      <c r="J50"/>
      <c r="K50" s="2"/>
      <c r="L50" s="2"/>
      <c r="M50" s="2"/>
    </row>
    <row r="51" spans="1:13" ht="15">
      <c r="A51" s="49" t="s">
        <v>50</v>
      </c>
      <c r="B51" s="80">
        <v>0</v>
      </c>
      <c r="C51" s="80">
        <v>0</v>
      </c>
      <c r="D51" s="80">
        <v>0</v>
      </c>
      <c r="E51" s="80">
        <v>0</v>
      </c>
      <c r="F51" s="80">
        <v>0</v>
      </c>
      <c r="G51" s="80">
        <v>0</v>
      </c>
      <c r="H51" s="80">
        <v>0</v>
      </c>
      <c r="I51"/>
      <c r="J51"/>
      <c r="K51" s="2"/>
      <c r="L51" s="2"/>
      <c r="M51" s="2"/>
    </row>
    <row r="52" spans="1:13" ht="15">
      <c r="A52" s="51" t="s">
        <v>32</v>
      </c>
      <c r="B52" s="75">
        <v>0</v>
      </c>
      <c r="C52" s="75">
        <v>0</v>
      </c>
      <c r="D52" s="75">
        <v>0</v>
      </c>
      <c r="E52" s="75">
        <v>0</v>
      </c>
      <c r="F52" s="75">
        <v>0</v>
      </c>
      <c r="G52" s="75">
        <v>0</v>
      </c>
      <c r="H52" s="75">
        <v>0</v>
      </c>
      <c r="I52"/>
      <c r="J52"/>
      <c r="K52" s="2"/>
      <c r="L52" s="2"/>
      <c r="M52" s="2"/>
    </row>
    <row r="53" spans="1:13" ht="15">
      <c r="A53" s="51" t="s">
        <v>28</v>
      </c>
      <c r="B53" s="75">
        <v>0</v>
      </c>
      <c r="C53" s="75">
        <v>0</v>
      </c>
      <c r="D53" s="75">
        <v>0</v>
      </c>
      <c r="E53" s="75">
        <v>0</v>
      </c>
      <c r="F53" s="75">
        <v>0</v>
      </c>
      <c r="G53" s="75">
        <v>0</v>
      </c>
      <c r="H53" s="75">
        <v>0</v>
      </c>
      <c r="I53"/>
      <c r="J53"/>
      <c r="K53" s="2"/>
      <c r="L53" s="2"/>
      <c r="M53" s="2"/>
    </row>
    <row r="54" spans="1:13" ht="15" hidden="1">
      <c r="A54" s="51" t="s">
        <v>39</v>
      </c>
      <c r="B54" s="75">
        <v>0</v>
      </c>
      <c r="C54" s="75">
        <v>0</v>
      </c>
      <c r="D54" s="75">
        <v>0</v>
      </c>
      <c r="E54" s="75">
        <v>0</v>
      </c>
      <c r="F54" s="75">
        <v>0</v>
      </c>
      <c r="G54" s="75">
        <v>0</v>
      </c>
      <c r="H54" s="75">
        <v>0</v>
      </c>
      <c r="I54"/>
      <c r="J54"/>
    </row>
    <row r="55" spans="1:13" ht="15" hidden="1">
      <c r="A55" s="49" t="s">
        <v>124</v>
      </c>
      <c r="B55" s="75">
        <v>0</v>
      </c>
      <c r="C55" s="75">
        <v>0</v>
      </c>
      <c r="D55" s="75">
        <v>0</v>
      </c>
      <c r="E55" s="75">
        <v>0</v>
      </c>
      <c r="F55" s="75">
        <v>0</v>
      </c>
      <c r="G55" s="75">
        <v>0</v>
      </c>
      <c r="H55" s="75">
        <v>0</v>
      </c>
      <c r="I55"/>
      <c r="J55"/>
    </row>
    <row r="56" spans="1:13" ht="15" hidden="1">
      <c r="A56" s="51" t="s">
        <v>40</v>
      </c>
      <c r="B56" s="75">
        <v>0</v>
      </c>
      <c r="C56" s="75">
        <v>0</v>
      </c>
      <c r="D56" s="75">
        <v>0</v>
      </c>
      <c r="E56" s="75">
        <v>0</v>
      </c>
      <c r="F56" s="75">
        <v>0</v>
      </c>
      <c r="G56" s="75">
        <v>0</v>
      </c>
      <c r="H56" s="75">
        <v>0</v>
      </c>
      <c r="I56"/>
      <c r="J56"/>
    </row>
    <row r="57" spans="1:13" ht="15" hidden="1">
      <c r="A57" s="49" t="s">
        <v>37</v>
      </c>
      <c r="B57" s="75">
        <v>0</v>
      </c>
      <c r="C57" s="75">
        <v>0</v>
      </c>
      <c r="D57" s="75">
        <v>0</v>
      </c>
      <c r="E57" s="75">
        <v>0</v>
      </c>
      <c r="F57" s="75">
        <v>0</v>
      </c>
      <c r="G57" s="75">
        <v>0</v>
      </c>
      <c r="H57" s="75">
        <v>0</v>
      </c>
      <c r="I57"/>
      <c r="J57"/>
    </row>
    <row r="58" spans="1:13" ht="9" customHeight="1">
      <c r="A58" s="3"/>
      <c r="B58" s="3"/>
      <c r="C58" s="3"/>
      <c r="D58" s="3"/>
      <c r="E58" s="3"/>
      <c r="F58" s="3"/>
      <c r="G58" s="3"/>
      <c r="H58" s="3"/>
    </row>
    <row r="59" spans="1:13" ht="14.25" customHeight="1">
      <c r="A59" s="84" t="s">
        <v>266</v>
      </c>
      <c r="B59" s="85"/>
      <c r="C59" s="85"/>
      <c r="D59" s="85"/>
      <c r="E59" s="85"/>
      <c r="F59" s="85"/>
      <c r="G59" s="85"/>
      <c r="H59" s="85"/>
    </row>
  </sheetData>
  <mergeCells count="3">
    <mergeCell ref="B17:D17"/>
    <mergeCell ref="E17:G17"/>
    <mergeCell ref="A5:I5"/>
  </mergeCells>
  <printOptions horizontalCentered="1"/>
  <pageMargins left="0.31496062992125984" right="0.31496062992125984" top="0.55118110236220474" bottom="0.55118110236220474" header="0.31496062992125984" footer="0.31496062992125984"/>
  <pageSetup paperSize="9"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showGridLines="0" showWhiteSpace="0" topLeftCell="A4" zoomScale="85" zoomScaleNormal="85" zoomScaleSheetLayoutView="100" zoomScalePageLayoutView="75" workbookViewId="0">
      <selection activeCell="H27" sqref="H27"/>
    </sheetView>
  </sheetViews>
  <sheetFormatPr baseColWidth="10" defaultRowHeight="15"/>
  <cols>
    <col min="1" max="1" width="7.140625" style="149" customWidth="1"/>
    <col min="2" max="2" width="63.5703125" style="7" customWidth="1"/>
    <col min="3" max="7" width="13.85546875" style="149" customWidth="1"/>
    <col min="8" max="9" width="13.85546875" style="16" customWidth="1"/>
    <col min="10" max="10" width="21.140625" style="16" customWidth="1"/>
    <col min="11" max="12" width="11.42578125" style="16"/>
    <col min="13" max="256" width="11.42578125" style="7"/>
    <col min="257" max="257" width="5.42578125" style="7" customWidth="1"/>
    <col min="258" max="258" width="25.42578125" style="7" customWidth="1"/>
    <col min="259" max="259" width="9.140625" style="7" customWidth="1"/>
    <col min="260" max="260" width="8.42578125" style="7" customWidth="1"/>
    <col min="261" max="261" width="33.5703125" style="7" customWidth="1"/>
    <col min="262" max="262" width="11.140625" style="7" customWidth="1"/>
    <col min="263" max="512" width="11.42578125" style="7"/>
    <col min="513" max="513" width="5.42578125" style="7" customWidth="1"/>
    <col min="514" max="514" width="25.42578125" style="7" customWidth="1"/>
    <col min="515" max="515" width="9.140625" style="7" customWidth="1"/>
    <col min="516" max="516" width="8.42578125" style="7" customWidth="1"/>
    <col min="517" max="517" width="33.5703125" style="7" customWidth="1"/>
    <col min="518" max="518" width="11.140625" style="7" customWidth="1"/>
    <col min="519" max="768" width="11.42578125" style="7"/>
    <col min="769" max="769" width="5.42578125" style="7" customWidth="1"/>
    <col min="770" max="770" width="25.42578125" style="7" customWidth="1"/>
    <col min="771" max="771" width="9.140625" style="7" customWidth="1"/>
    <col min="772" max="772" width="8.42578125" style="7" customWidth="1"/>
    <col min="773" max="773" width="33.5703125" style="7" customWidth="1"/>
    <col min="774" max="774" width="11.140625" style="7" customWidth="1"/>
    <col min="775" max="1024" width="11.42578125" style="7"/>
    <col min="1025" max="1025" width="5.42578125" style="7" customWidth="1"/>
    <col min="1026" max="1026" width="25.42578125" style="7" customWidth="1"/>
    <col min="1027" max="1027" width="9.140625" style="7" customWidth="1"/>
    <col min="1028" max="1028" width="8.42578125" style="7" customWidth="1"/>
    <col min="1029" max="1029" width="33.5703125" style="7" customWidth="1"/>
    <col min="1030" max="1030" width="11.140625" style="7" customWidth="1"/>
    <col min="1031" max="1280" width="11.42578125" style="7"/>
    <col min="1281" max="1281" width="5.42578125" style="7" customWidth="1"/>
    <col min="1282" max="1282" width="25.42578125" style="7" customWidth="1"/>
    <col min="1283" max="1283" width="9.140625" style="7" customWidth="1"/>
    <col min="1284" max="1284" width="8.42578125" style="7" customWidth="1"/>
    <col min="1285" max="1285" width="33.5703125" style="7" customWidth="1"/>
    <col min="1286" max="1286" width="11.140625" style="7" customWidth="1"/>
    <col min="1287" max="1536" width="11.42578125" style="7"/>
    <col min="1537" max="1537" width="5.42578125" style="7" customWidth="1"/>
    <col min="1538" max="1538" width="25.42578125" style="7" customWidth="1"/>
    <col min="1539" max="1539" width="9.140625" style="7" customWidth="1"/>
    <col min="1540" max="1540" width="8.42578125" style="7" customWidth="1"/>
    <col min="1541" max="1541" width="33.5703125" style="7" customWidth="1"/>
    <col min="1542" max="1542" width="11.140625" style="7" customWidth="1"/>
    <col min="1543" max="1792" width="11.42578125" style="7"/>
    <col min="1793" max="1793" width="5.42578125" style="7" customWidth="1"/>
    <col min="1794" max="1794" width="25.42578125" style="7" customWidth="1"/>
    <col min="1795" max="1795" width="9.140625" style="7" customWidth="1"/>
    <col min="1796" max="1796" width="8.42578125" style="7" customWidth="1"/>
    <col min="1797" max="1797" width="33.5703125" style="7" customWidth="1"/>
    <col min="1798" max="1798" width="11.140625" style="7" customWidth="1"/>
    <col min="1799" max="2048" width="11.42578125" style="7"/>
    <col min="2049" max="2049" width="5.42578125" style="7" customWidth="1"/>
    <col min="2050" max="2050" width="25.42578125" style="7" customWidth="1"/>
    <col min="2051" max="2051" width="9.140625" style="7" customWidth="1"/>
    <col min="2052" max="2052" width="8.42578125" style="7" customWidth="1"/>
    <col min="2053" max="2053" width="33.5703125" style="7" customWidth="1"/>
    <col min="2054" max="2054" width="11.140625" style="7" customWidth="1"/>
    <col min="2055" max="2304" width="11.42578125" style="7"/>
    <col min="2305" max="2305" width="5.42578125" style="7" customWidth="1"/>
    <col min="2306" max="2306" width="25.42578125" style="7" customWidth="1"/>
    <col min="2307" max="2307" width="9.140625" style="7" customWidth="1"/>
    <col min="2308" max="2308" width="8.42578125" style="7" customWidth="1"/>
    <col min="2309" max="2309" width="33.5703125" style="7" customWidth="1"/>
    <col min="2310" max="2310" width="11.140625" style="7" customWidth="1"/>
    <col min="2311" max="2560" width="11.42578125" style="7"/>
    <col min="2561" max="2561" width="5.42578125" style="7" customWidth="1"/>
    <col min="2562" max="2562" width="25.42578125" style="7" customWidth="1"/>
    <col min="2563" max="2563" width="9.140625" style="7" customWidth="1"/>
    <col min="2564" max="2564" width="8.42578125" style="7" customWidth="1"/>
    <col min="2565" max="2565" width="33.5703125" style="7" customWidth="1"/>
    <col min="2566" max="2566" width="11.140625" style="7" customWidth="1"/>
    <col min="2567" max="2816" width="11.42578125" style="7"/>
    <col min="2817" max="2817" width="5.42578125" style="7" customWidth="1"/>
    <col min="2818" max="2818" width="25.42578125" style="7" customWidth="1"/>
    <col min="2819" max="2819" width="9.140625" style="7" customWidth="1"/>
    <col min="2820" max="2820" width="8.42578125" style="7" customWidth="1"/>
    <col min="2821" max="2821" width="33.5703125" style="7" customWidth="1"/>
    <col min="2822" max="2822" width="11.140625" style="7" customWidth="1"/>
    <col min="2823" max="3072" width="11.42578125" style="7"/>
    <col min="3073" max="3073" width="5.42578125" style="7" customWidth="1"/>
    <col min="3074" max="3074" width="25.42578125" style="7" customWidth="1"/>
    <col min="3075" max="3075" width="9.140625" style="7" customWidth="1"/>
    <col min="3076" max="3076" width="8.42578125" style="7" customWidth="1"/>
    <col min="3077" max="3077" width="33.5703125" style="7" customWidth="1"/>
    <col min="3078" max="3078" width="11.140625" style="7" customWidth="1"/>
    <col min="3079" max="3328" width="11.42578125" style="7"/>
    <col min="3329" max="3329" width="5.42578125" style="7" customWidth="1"/>
    <col min="3330" max="3330" width="25.42578125" style="7" customWidth="1"/>
    <col min="3331" max="3331" width="9.140625" style="7" customWidth="1"/>
    <col min="3332" max="3332" width="8.42578125" style="7" customWidth="1"/>
    <col min="3333" max="3333" width="33.5703125" style="7" customWidth="1"/>
    <col min="3334" max="3334" width="11.140625" style="7" customWidth="1"/>
    <col min="3335" max="3584" width="11.42578125" style="7"/>
    <col min="3585" max="3585" width="5.42578125" style="7" customWidth="1"/>
    <col min="3586" max="3586" width="25.42578125" style="7" customWidth="1"/>
    <col min="3587" max="3587" width="9.140625" style="7" customWidth="1"/>
    <col min="3588" max="3588" width="8.42578125" style="7" customWidth="1"/>
    <col min="3589" max="3589" width="33.5703125" style="7" customWidth="1"/>
    <col min="3590" max="3590" width="11.140625" style="7" customWidth="1"/>
    <col min="3591" max="3840" width="11.42578125" style="7"/>
    <col min="3841" max="3841" width="5.42578125" style="7" customWidth="1"/>
    <col min="3842" max="3842" width="25.42578125" style="7" customWidth="1"/>
    <col min="3843" max="3843" width="9.140625" style="7" customWidth="1"/>
    <col min="3844" max="3844" width="8.42578125" style="7" customWidth="1"/>
    <col min="3845" max="3845" width="33.5703125" style="7" customWidth="1"/>
    <col min="3846" max="3846" width="11.140625" style="7" customWidth="1"/>
    <col min="3847" max="4096" width="11.42578125" style="7"/>
    <col min="4097" max="4097" width="5.42578125" style="7" customWidth="1"/>
    <col min="4098" max="4098" width="25.42578125" style="7" customWidth="1"/>
    <col min="4099" max="4099" width="9.140625" style="7" customWidth="1"/>
    <col min="4100" max="4100" width="8.42578125" style="7" customWidth="1"/>
    <col min="4101" max="4101" width="33.5703125" style="7" customWidth="1"/>
    <col min="4102" max="4102" width="11.140625" style="7" customWidth="1"/>
    <col min="4103" max="4352" width="11.42578125" style="7"/>
    <col min="4353" max="4353" width="5.42578125" style="7" customWidth="1"/>
    <col min="4354" max="4354" width="25.42578125" style="7" customWidth="1"/>
    <col min="4355" max="4355" width="9.140625" style="7" customWidth="1"/>
    <col min="4356" max="4356" width="8.42578125" style="7" customWidth="1"/>
    <col min="4357" max="4357" width="33.5703125" style="7" customWidth="1"/>
    <col min="4358" max="4358" width="11.140625" style="7" customWidth="1"/>
    <col min="4359" max="4608" width="11.42578125" style="7"/>
    <col min="4609" max="4609" width="5.42578125" style="7" customWidth="1"/>
    <col min="4610" max="4610" width="25.42578125" style="7" customWidth="1"/>
    <col min="4611" max="4611" width="9.140625" style="7" customWidth="1"/>
    <col min="4612" max="4612" width="8.42578125" style="7" customWidth="1"/>
    <col min="4613" max="4613" width="33.5703125" style="7" customWidth="1"/>
    <col min="4614" max="4614" width="11.140625" style="7" customWidth="1"/>
    <col min="4615" max="4864" width="11.42578125" style="7"/>
    <col min="4865" max="4865" width="5.42578125" style="7" customWidth="1"/>
    <col min="4866" max="4866" width="25.42578125" style="7" customWidth="1"/>
    <col min="4867" max="4867" width="9.140625" style="7" customWidth="1"/>
    <col min="4868" max="4868" width="8.42578125" style="7" customWidth="1"/>
    <col min="4869" max="4869" width="33.5703125" style="7" customWidth="1"/>
    <col min="4870" max="4870" width="11.140625" style="7" customWidth="1"/>
    <col min="4871" max="5120" width="11.42578125" style="7"/>
    <col min="5121" max="5121" width="5.42578125" style="7" customWidth="1"/>
    <col min="5122" max="5122" width="25.42578125" style="7" customWidth="1"/>
    <col min="5123" max="5123" width="9.140625" style="7" customWidth="1"/>
    <col min="5124" max="5124" width="8.42578125" style="7" customWidth="1"/>
    <col min="5125" max="5125" width="33.5703125" style="7" customWidth="1"/>
    <col min="5126" max="5126" width="11.140625" style="7" customWidth="1"/>
    <col min="5127" max="5376" width="11.42578125" style="7"/>
    <col min="5377" max="5377" width="5.42578125" style="7" customWidth="1"/>
    <col min="5378" max="5378" width="25.42578125" style="7" customWidth="1"/>
    <col min="5379" max="5379" width="9.140625" style="7" customWidth="1"/>
    <col min="5380" max="5380" width="8.42578125" style="7" customWidth="1"/>
    <col min="5381" max="5381" width="33.5703125" style="7" customWidth="1"/>
    <col min="5382" max="5382" width="11.140625" style="7" customWidth="1"/>
    <col min="5383" max="5632" width="11.42578125" style="7"/>
    <col min="5633" max="5633" width="5.42578125" style="7" customWidth="1"/>
    <col min="5634" max="5634" width="25.42578125" style="7" customWidth="1"/>
    <col min="5635" max="5635" width="9.140625" style="7" customWidth="1"/>
    <col min="5636" max="5636" width="8.42578125" style="7" customWidth="1"/>
    <col min="5637" max="5637" width="33.5703125" style="7" customWidth="1"/>
    <col min="5638" max="5638" width="11.140625" style="7" customWidth="1"/>
    <col min="5639" max="5888" width="11.42578125" style="7"/>
    <col min="5889" max="5889" width="5.42578125" style="7" customWidth="1"/>
    <col min="5890" max="5890" width="25.42578125" style="7" customWidth="1"/>
    <col min="5891" max="5891" width="9.140625" style="7" customWidth="1"/>
    <col min="5892" max="5892" width="8.42578125" style="7" customWidth="1"/>
    <col min="5893" max="5893" width="33.5703125" style="7" customWidth="1"/>
    <col min="5894" max="5894" width="11.140625" style="7" customWidth="1"/>
    <col min="5895" max="6144" width="11.42578125" style="7"/>
    <col min="6145" max="6145" width="5.42578125" style="7" customWidth="1"/>
    <col min="6146" max="6146" width="25.42578125" style="7" customWidth="1"/>
    <col min="6147" max="6147" width="9.140625" style="7" customWidth="1"/>
    <col min="6148" max="6148" width="8.42578125" style="7" customWidth="1"/>
    <col min="6149" max="6149" width="33.5703125" style="7" customWidth="1"/>
    <col min="6150" max="6150" width="11.140625" style="7" customWidth="1"/>
    <col min="6151" max="6400" width="11.42578125" style="7"/>
    <col min="6401" max="6401" width="5.42578125" style="7" customWidth="1"/>
    <col min="6402" max="6402" width="25.42578125" style="7" customWidth="1"/>
    <col min="6403" max="6403" width="9.140625" style="7" customWidth="1"/>
    <col min="6404" max="6404" width="8.42578125" style="7" customWidth="1"/>
    <col min="6405" max="6405" width="33.5703125" style="7" customWidth="1"/>
    <col min="6406" max="6406" width="11.140625" style="7" customWidth="1"/>
    <col min="6407" max="6656" width="11.42578125" style="7"/>
    <col min="6657" max="6657" width="5.42578125" style="7" customWidth="1"/>
    <col min="6658" max="6658" width="25.42578125" style="7" customWidth="1"/>
    <col min="6659" max="6659" width="9.140625" style="7" customWidth="1"/>
    <col min="6660" max="6660" width="8.42578125" style="7" customWidth="1"/>
    <col min="6661" max="6661" width="33.5703125" style="7" customWidth="1"/>
    <col min="6662" max="6662" width="11.140625" style="7" customWidth="1"/>
    <col min="6663" max="6912" width="11.42578125" style="7"/>
    <col min="6913" max="6913" width="5.42578125" style="7" customWidth="1"/>
    <col min="6914" max="6914" width="25.42578125" style="7" customWidth="1"/>
    <col min="6915" max="6915" width="9.140625" style="7" customWidth="1"/>
    <col min="6916" max="6916" width="8.42578125" style="7" customWidth="1"/>
    <col min="6917" max="6917" width="33.5703125" style="7" customWidth="1"/>
    <col min="6918" max="6918" width="11.140625" style="7" customWidth="1"/>
    <col min="6919" max="7168" width="11.42578125" style="7"/>
    <col min="7169" max="7169" width="5.42578125" style="7" customWidth="1"/>
    <col min="7170" max="7170" width="25.42578125" style="7" customWidth="1"/>
    <col min="7171" max="7171" width="9.140625" style="7" customWidth="1"/>
    <col min="7172" max="7172" width="8.42578125" style="7" customWidth="1"/>
    <col min="7173" max="7173" width="33.5703125" style="7" customWidth="1"/>
    <col min="7174" max="7174" width="11.140625" style="7" customWidth="1"/>
    <col min="7175" max="7424" width="11.42578125" style="7"/>
    <col min="7425" max="7425" width="5.42578125" style="7" customWidth="1"/>
    <col min="7426" max="7426" width="25.42578125" style="7" customWidth="1"/>
    <col min="7427" max="7427" width="9.140625" style="7" customWidth="1"/>
    <col min="7428" max="7428" width="8.42578125" style="7" customWidth="1"/>
    <col min="7429" max="7429" width="33.5703125" style="7" customWidth="1"/>
    <col min="7430" max="7430" width="11.140625" style="7" customWidth="1"/>
    <col min="7431" max="7680" width="11.42578125" style="7"/>
    <col min="7681" max="7681" width="5.42578125" style="7" customWidth="1"/>
    <col min="7682" max="7682" width="25.42578125" style="7" customWidth="1"/>
    <col min="7683" max="7683" width="9.140625" style="7" customWidth="1"/>
    <col min="7684" max="7684" width="8.42578125" style="7" customWidth="1"/>
    <col min="7685" max="7685" width="33.5703125" style="7" customWidth="1"/>
    <col min="7686" max="7686" width="11.140625" style="7" customWidth="1"/>
    <col min="7687" max="7936" width="11.42578125" style="7"/>
    <col min="7937" max="7937" width="5.42578125" style="7" customWidth="1"/>
    <col min="7938" max="7938" width="25.42578125" style="7" customWidth="1"/>
    <col min="7939" max="7939" width="9.140625" style="7" customWidth="1"/>
    <col min="7940" max="7940" width="8.42578125" style="7" customWidth="1"/>
    <col min="7941" max="7941" width="33.5703125" style="7" customWidth="1"/>
    <col min="7942" max="7942" width="11.140625" style="7" customWidth="1"/>
    <col min="7943" max="8192" width="11.42578125" style="7"/>
    <col min="8193" max="8193" width="5.42578125" style="7" customWidth="1"/>
    <col min="8194" max="8194" width="25.42578125" style="7" customWidth="1"/>
    <col min="8195" max="8195" width="9.140625" style="7" customWidth="1"/>
    <col min="8196" max="8196" width="8.42578125" style="7" customWidth="1"/>
    <col min="8197" max="8197" width="33.5703125" style="7" customWidth="1"/>
    <col min="8198" max="8198" width="11.140625" style="7" customWidth="1"/>
    <col min="8199" max="8448" width="11.42578125" style="7"/>
    <col min="8449" max="8449" width="5.42578125" style="7" customWidth="1"/>
    <col min="8450" max="8450" width="25.42578125" style="7" customWidth="1"/>
    <col min="8451" max="8451" width="9.140625" style="7" customWidth="1"/>
    <col min="8452" max="8452" width="8.42578125" style="7" customWidth="1"/>
    <col min="8453" max="8453" width="33.5703125" style="7" customWidth="1"/>
    <col min="8454" max="8454" width="11.140625" style="7" customWidth="1"/>
    <col min="8455" max="8704" width="11.42578125" style="7"/>
    <col min="8705" max="8705" width="5.42578125" style="7" customWidth="1"/>
    <col min="8706" max="8706" width="25.42578125" style="7" customWidth="1"/>
    <col min="8707" max="8707" width="9.140625" style="7" customWidth="1"/>
    <col min="8708" max="8708" width="8.42578125" style="7" customWidth="1"/>
    <col min="8709" max="8709" width="33.5703125" style="7" customWidth="1"/>
    <col min="8710" max="8710" width="11.140625" style="7" customWidth="1"/>
    <col min="8711" max="8960" width="11.42578125" style="7"/>
    <col min="8961" max="8961" width="5.42578125" style="7" customWidth="1"/>
    <col min="8962" max="8962" width="25.42578125" style="7" customWidth="1"/>
    <col min="8963" max="8963" width="9.140625" style="7" customWidth="1"/>
    <col min="8964" max="8964" width="8.42578125" style="7" customWidth="1"/>
    <col min="8965" max="8965" width="33.5703125" style="7" customWidth="1"/>
    <col min="8966" max="8966" width="11.140625" style="7" customWidth="1"/>
    <col min="8967" max="9216" width="11.42578125" style="7"/>
    <col min="9217" max="9217" width="5.42578125" style="7" customWidth="1"/>
    <col min="9218" max="9218" width="25.42578125" style="7" customWidth="1"/>
    <col min="9219" max="9219" width="9.140625" style="7" customWidth="1"/>
    <col min="9220" max="9220" width="8.42578125" style="7" customWidth="1"/>
    <col min="9221" max="9221" width="33.5703125" style="7" customWidth="1"/>
    <col min="9222" max="9222" width="11.140625" style="7" customWidth="1"/>
    <col min="9223" max="9472" width="11.42578125" style="7"/>
    <col min="9473" max="9473" width="5.42578125" style="7" customWidth="1"/>
    <col min="9474" max="9474" width="25.42578125" style="7" customWidth="1"/>
    <col min="9475" max="9475" width="9.140625" style="7" customWidth="1"/>
    <col min="9476" max="9476" width="8.42578125" style="7" customWidth="1"/>
    <col min="9477" max="9477" width="33.5703125" style="7" customWidth="1"/>
    <col min="9478" max="9478" width="11.140625" style="7" customWidth="1"/>
    <col min="9479" max="9728" width="11.42578125" style="7"/>
    <col min="9729" max="9729" width="5.42578125" style="7" customWidth="1"/>
    <col min="9730" max="9730" width="25.42578125" style="7" customWidth="1"/>
    <col min="9731" max="9731" width="9.140625" style="7" customWidth="1"/>
    <col min="9732" max="9732" width="8.42578125" style="7" customWidth="1"/>
    <col min="9733" max="9733" width="33.5703125" style="7" customWidth="1"/>
    <col min="9734" max="9734" width="11.140625" style="7" customWidth="1"/>
    <col min="9735" max="9984" width="11.42578125" style="7"/>
    <col min="9985" max="9985" width="5.42578125" style="7" customWidth="1"/>
    <col min="9986" max="9986" width="25.42578125" style="7" customWidth="1"/>
    <col min="9987" max="9987" width="9.140625" style="7" customWidth="1"/>
    <col min="9988" max="9988" width="8.42578125" style="7" customWidth="1"/>
    <col min="9989" max="9989" width="33.5703125" style="7" customWidth="1"/>
    <col min="9990" max="9990" width="11.140625" style="7" customWidth="1"/>
    <col min="9991" max="10240" width="11.42578125" style="7"/>
    <col min="10241" max="10241" width="5.42578125" style="7" customWidth="1"/>
    <col min="10242" max="10242" width="25.42578125" style="7" customWidth="1"/>
    <col min="10243" max="10243" width="9.140625" style="7" customWidth="1"/>
    <col min="10244" max="10244" width="8.42578125" style="7" customWidth="1"/>
    <col min="10245" max="10245" width="33.5703125" style="7" customWidth="1"/>
    <col min="10246" max="10246" width="11.140625" style="7" customWidth="1"/>
    <col min="10247" max="10496" width="11.42578125" style="7"/>
    <col min="10497" max="10497" width="5.42578125" style="7" customWidth="1"/>
    <col min="10498" max="10498" width="25.42578125" style="7" customWidth="1"/>
    <col min="10499" max="10499" width="9.140625" style="7" customWidth="1"/>
    <col min="10500" max="10500" width="8.42578125" style="7" customWidth="1"/>
    <col min="10501" max="10501" width="33.5703125" style="7" customWidth="1"/>
    <col min="10502" max="10502" width="11.140625" style="7" customWidth="1"/>
    <col min="10503" max="10752" width="11.42578125" style="7"/>
    <col min="10753" max="10753" width="5.42578125" style="7" customWidth="1"/>
    <col min="10754" max="10754" width="25.42578125" style="7" customWidth="1"/>
    <col min="10755" max="10755" width="9.140625" style="7" customWidth="1"/>
    <col min="10756" max="10756" width="8.42578125" style="7" customWidth="1"/>
    <col min="10757" max="10757" width="33.5703125" style="7" customWidth="1"/>
    <col min="10758" max="10758" width="11.140625" style="7" customWidth="1"/>
    <col min="10759" max="11008" width="11.42578125" style="7"/>
    <col min="11009" max="11009" width="5.42578125" style="7" customWidth="1"/>
    <col min="11010" max="11010" width="25.42578125" style="7" customWidth="1"/>
    <col min="11011" max="11011" width="9.140625" style="7" customWidth="1"/>
    <col min="11012" max="11012" width="8.42578125" style="7" customWidth="1"/>
    <col min="11013" max="11013" width="33.5703125" style="7" customWidth="1"/>
    <col min="11014" max="11014" width="11.140625" style="7" customWidth="1"/>
    <col min="11015" max="11264" width="11.42578125" style="7"/>
    <col min="11265" max="11265" width="5.42578125" style="7" customWidth="1"/>
    <col min="11266" max="11266" width="25.42578125" style="7" customWidth="1"/>
    <col min="11267" max="11267" width="9.140625" style="7" customWidth="1"/>
    <col min="11268" max="11268" width="8.42578125" style="7" customWidth="1"/>
    <col min="11269" max="11269" width="33.5703125" style="7" customWidth="1"/>
    <col min="11270" max="11270" width="11.140625" style="7" customWidth="1"/>
    <col min="11271" max="11520" width="11.42578125" style="7"/>
    <col min="11521" max="11521" width="5.42578125" style="7" customWidth="1"/>
    <col min="11522" max="11522" width="25.42578125" style="7" customWidth="1"/>
    <col min="11523" max="11523" width="9.140625" style="7" customWidth="1"/>
    <col min="11524" max="11524" width="8.42578125" style="7" customWidth="1"/>
    <col min="11525" max="11525" width="33.5703125" style="7" customWidth="1"/>
    <col min="11526" max="11526" width="11.140625" style="7" customWidth="1"/>
    <col min="11527" max="11776" width="11.42578125" style="7"/>
    <col min="11777" max="11777" width="5.42578125" style="7" customWidth="1"/>
    <col min="11778" max="11778" width="25.42578125" style="7" customWidth="1"/>
    <col min="11779" max="11779" width="9.140625" style="7" customWidth="1"/>
    <col min="11780" max="11780" width="8.42578125" style="7" customWidth="1"/>
    <col min="11781" max="11781" width="33.5703125" style="7" customWidth="1"/>
    <col min="11782" max="11782" width="11.140625" style="7" customWidth="1"/>
    <col min="11783" max="12032" width="11.42578125" style="7"/>
    <col min="12033" max="12033" width="5.42578125" style="7" customWidth="1"/>
    <col min="12034" max="12034" width="25.42578125" style="7" customWidth="1"/>
    <col min="12035" max="12035" width="9.140625" style="7" customWidth="1"/>
    <col min="12036" max="12036" width="8.42578125" style="7" customWidth="1"/>
    <col min="12037" max="12037" width="33.5703125" style="7" customWidth="1"/>
    <col min="12038" max="12038" width="11.140625" style="7" customWidth="1"/>
    <col min="12039" max="12288" width="11.42578125" style="7"/>
    <col min="12289" max="12289" width="5.42578125" style="7" customWidth="1"/>
    <col min="12290" max="12290" width="25.42578125" style="7" customWidth="1"/>
    <col min="12291" max="12291" width="9.140625" style="7" customWidth="1"/>
    <col min="12292" max="12292" width="8.42578125" style="7" customWidth="1"/>
    <col min="12293" max="12293" width="33.5703125" style="7" customWidth="1"/>
    <col min="12294" max="12294" width="11.140625" style="7" customWidth="1"/>
    <col min="12295" max="12544" width="11.42578125" style="7"/>
    <col min="12545" max="12545" width="5.42578125" style="7" customWidth="1"/>
    <col min="12546" max="12546" width="25.42578125" style="7" customWidth="1"/>
    <col min="12547" max="12547" width="9.140625" style="7" customWidth="1"/>
    <col min="12548" max="12548" width="8.42578125" style="7" customWidth="1"/>
    <col min="12549" max="12549" width="33.5703125" style="7" customWidth="1"/>
    <col min="12550" max="12550" width="11.140625" style="7" customWidth="1"/>
    <col min="12551" max="12800" width="11.42578125" style="7"/>
    <col min="12801" max="12801" width="5.42578125" style="7" customWidth="1"/>
    <col min="12802" max="12802" width="25.42578125" style="7" customWidth="1"/>
    <col min="12803" max="12803" width="9.140625" style="7" customWidth="1"/>
    <col min="12804" max="12804" width="8.42578125" style="7" customWidth="1"/>
    <col min="12805" max="12805" width="33.5703125" style="7" customWidth="1"/>
    <col min="12806" max="12806" width="11.140625" style="7" customWidth="1"/>
    <col min="12807" max="13056" width="11.42578125" style="7"/>
    <col min="13057" max="13057" width="5.42578125" style="7" customWidth="1"/>
    <col min="13058" max="13058" width="25.42578125" style="7" customWidth="1"/>
    <col min="13059" max="13059" width="9.140625" style="7" customWidth="1"/>
    <col min="13060" max="13060" width="8.42578125" style="7" customWidth="1"/>
    <col min="13061" max="13061" width="33.5703125" style="7" customWidth="1"/>
    <col min="13062" max="13062" width="11.140625" style="7" customWidth="1"/>
    <col min="13063" max="13312" width="11.42578125" style="7"/>
    <col min="13313" max="13313" width="5.42578125" style="7" customWidth="1"/>
    <col min="13314" max="13314" width="25.42578125" style="7" customWidth="1"/>
    <col min="13315" max="13315" width="9.140625" style="7" customWidth="1"/>
    <col min="13316" max="13316" width="8.42578125" style="7" customWidth="1"/>
    <col min="13317" max="13317" width="33.5703125" style="7" customWidth="1"/>
    <col min="13318" max="13318" width="11.140625" style="7" customWidth="1"/>
    <col min="13319" max="13568" width="11.42578125" style="7"/>
    <col min="13569" max="13569" width="5.42578125" style="7" customWidth="1"/>
    <col min="13570" max="13570" width="25.42578125" style="7" customWidth="1"/>
    <col min="13571" max="13571" width="9.140625" style="7" customWidth="1"/>
    <col min="13572" max="13572" width="8.42578125" style="7" customWidth="1"/>
    <col min="13573" max="13573" width="33.5703125" style="7" customWidth="1"/>
    <col min="13574" max="13574" width="11.140625" style="7" customWidth="1"/>
    <col min="13575" max="13824" width="11.42578125" style="7"/>
    <col min="13825" max="13825" width="5.42578125" style="7" customWidth="1"/>
    <col min="13826" max="13826" width="25.42578125" style="7" customWidth="1"/>
    <col min="13827" max="13827" width="9.140625" style="7" customWidth="1"/>
    <col min="13828" max="13828" width="8.42578125" style="7" customWidth="1"/>
    <col min="13829" max="13829" width="33.5703125" style="7" customWidth="1"/>
    <col min="13830" max="13830" width="11.140625" style="7" customWidth="1"/>
    <col min="13831" max="14080" width="11.42578125" style="7"/>
    <col min="14081" max="14081" width="5.42578125" style="7" customWidth="1"/>
    <col min="14082" max="14082" width="25.42578125" style="7" customWidth="1"/>
    <col min="14083" max="14083" width="9.140625" style="7" customWidth="1"/>
    <col min="14084" max="14084" width="8.42578125" style="7" customWidth="1"/>
    <col min="14085" max="14085" width="33.5703125" style="7" customWidth="1"/>
    <col min="14086" max="14086" width="11.140625" style="7" customWidth="1"/>
    <col min="14087" max="14336" width="11.42578125" style="7"/>
    <col min="14337" max="14337" width="5.42578125" style="7" customWidth="1"/>
    <col min="14338" max="14338" width="25.42578125" style="7" customWidth="1"/>
    <col min="14339" max="14339" width="9.140625" style="7" customWidth="1"/>
    <col min="14340" max="14340" width="8.42578125" style="7" customWidth="1"/>
    <col min="14341" max="14341" width="33.5703125" style="7" customWidth="1"/>
    <col min="14342" max="14342" width="11.140625" style="7" customWidth="1"/>
    <col min="14343" max="14592" width="11.42578125" style="7"/>
    <col min="14593" max="14593" width="5.42578125" style="7" customWidth="1"/>
    <col min="14594" max="14594" width="25.42578125" style="7" customWidth="1"/>
    <col min="14595" max="14595" width="9.140625" style="7" customWidth="1"/>
    <col min="14596" max="14596" width="8.42578125" style="7" customWidth="1"/>
    <col min="14597" max="14597" width="33.5703125" style="7" customWidth="1"/>
    <col min="14598" max="14598" width="11.140625" style="7" customWidth="1"/>
    <col min="14599" max="14848" width="11.42578125" style="7"/>
    <col min="14849" max="14849" width="5.42578125" style="7" customWidth="1"/>
    <col min="14850" max="14850" width="25.42578125" style="7" customWidth="1"/>
    <col min="14851" max="14851" width="9.140625" style="7" customWidth="1"/>
    <col min="14852" max="14852" width="8.42578125" style="7" customWidth="1"/>
    <col min="14853" max="14853" width="33.5703125" style="7" customWidth="1"/>
    <col min="14854" max="14854" width="11.140625" style="7" customWidth="1"/>
    <col min="14855" max="15104" width="11.42578125" style="7"/>
    <col min="15105" max="15105" width="5.42578125" style="7" customWidth="1"/>
    <col min="15106" max="15106" width="25.42578125" style="7" customWidth="1"/>
    <col min="15107" max="15107" width="9.140625" style="7" customWidth="1"/>
    <col min="15108" max="15108" width="8.42578125" style="7" customWidth="1"/>
    <col min="15109" max="15109" width="33.5703125" style="7" customWidth="1"/>
    <col min="15110" max="15110" width="11.140625" style="7" customWidth="1"/>
    <col min="15111" max="15360" width="11.42578125" style="7"/>
    <col min="15361" max="15361" width="5.42578125" style="7" customWidth="1"/>
    <col min="15362" max="15362" width="25.42578125" style="7" customWidth="1"/>
    <col min="15363" max="15363" width="9.140625" style="7" customWidth="1"/>
    <col min="15364" max="15364" width="8.42578125" style="7" customWidth="1"/>
    <col min="15365" max="15365" width="33.5703125" style="7" customWidth="1"/>
    <col min="15366" max="15366" width="11.140625" style="7" customWidth="1"/>
    <col min="15367" max="15616" width="11.42578125" style="7"/>
    <col min="15617" max="15617" width="5.42578125" style="7" customWidth="1"/>
    <col min="15618" max="15618" width="25.42578125" style="7" customWidth="1"/>
    <col min="15619" max="15619" width="9.140625" style="7" customWidth="1"/>
    <col min="15620" max="15620" width="8.42578125" style="7" customWidth="1"/>
    <col min="15621" max="15621" width="33.5703125" style="7" customWidth="1"/>
    <col min="15622" max="15622" width="11.140625" style="7" customWidth="1"/>
    <col min="15623" max="15872" width="11.42578125" style="7"/>
    <col min="15873" max="15873" width="5.42578125" style="7" customWidth="1"/>
    <col min="15874" max="15874" width="25.42578125" style="7" customWidth="1"/>
    <col min="15875" max="15875" width="9.140625" style="7" customWidth="1"/>
    <col min="15876" max="15876" width="8.42578125" style="7" customWidth="1"/>
    <col min="15877" max="15877" width="33.5703125" style="7" customWidth="1"/>
    <col min="15878" max="15878" width="11.140625" style="7" customWidth="1"/>
    <col min="15879" max="16128" width="11.42578125" style="7"/>
    <col min="16129" max="16129" width="5.42578125" style="7" customWidth="1"/>
    <col min="16130" max="16130" width="25.42578125" style="7" customWidth="1"/>
    <col min="16131" max="16131" width="9.140625" style="7" customWidth="1"/>
    <col min="16132" max="16132" width="8.42578125" style="7" customWidth="1"/>
    <col min="16133" max="16133" width="33.5703125" style="7" customWidth="1"/>
    <col min="16134" max="16134" width="11.140625" style="7" customWidth="1"/>
    <col min="16135" max="16384" width="11.42578125" style="7"/>
  </cols>
  <sheetData>
    <row r="1" spans="1:12" s="146" customFormat="1" ht="18.75" customHeight="1">
      <c r="H1" s="147"/>
      <c r="I1" s="147"/>
      <c r="J1" s="147"/>
      <c r="K1" s="147"/>
      <c r="L1" s="147"/>
    </row>
    <row r="2" spans="1:12" s="146" customFormat="1" ht="18.75" customHeight="1">
      <c r="H2" s="147"/>
      <c r="I2" s="147"/>
      <c r="J2" s="147"/>
      <c r="K2" s="147"/>
      <c r="L2" s="147"/>
    </row>
    <row r="3" spans="1:12" s="146" customFormat="1" ht="18.75" customHeight="1">
      <c r="H3" s="147"/>
      <c r="I3" s="147"/>
      <c r="J3" s="147"/>
      <c r="K3" s="147"/>
      <c r="L3" s="147"/>
    </row>
    <row r="4" spans="1:12" ht="21.75" customHeight="1">
      <c r="A4" s="360" t="s">
        <v>329</v>
      </c>
      <c r="B4" s="361"/>
      <c r="C4" s="361"/>
      <c r="D4" s="361"/>
      <c r="E4" s="361"/>
      <c r="F4" s="361"/>
      <c r="G4" s="361"/>
      <c r="H4" s="361"/>
      <c r="I4" s="361"/>
      <c r="J4" s="361"/>
    </row>
    <row r="5" spans="1:12" s="146" customFormat="1">
      <c r="H5" s="147"/>
      <c r="I5" s="147"/>
      <c r="J5" s="147"/>
      <c r="K5" s="147"/>
      <c r="L5" s="147"/>
    </row>
    <row r="6" spans="1:12" s="146" customFormat="1">
      <c r="A6" s="151"/>
      <c r="B6" s="152" t="s">
        <v>233</v>
      </c>
      <c r="C6" s="151"/>
      <c r="D6" s="151"/>
      <c r="E6" s="151"/>
      <c r="F6" s="151"/>
      <c r="G6" s="151"/>
      <c r="H6" s="151"/>
      <c r="I6" s="151"/>
      <c r="J6" s="151"/>
      <c r="K6" s="147"/>
      <c r="L6" s="147"/>
    </row>
    <row r="7" spans="1:12" s="15" customFormat="1">
      <c r="A7" s="153"/>
      <c r="B7" s="154"/>
      <c r="C7" s="155"/>
      <c r="D7" s="155"/>
      <c r="E7" s="155"/>
      <c r="F7" s="155"/>
      <c r="G7" s="155"/>
      <c r="H7" s="148"/>
      <c r="I7" s="148"/>
      <c r="J7" s="148"/>
      <c r="K7" s="148"/>
      <c r="L7" s="148"/>
    </row>
    <row r="8" spans="1:12" ht="30">
      <c r="A8" s="156" t="s">
        <v>33</v>
      </c>
      <c r="B8" s="156" t="s">
        <v>234</v>
      </c>
      <c r="C8" s="156" t="s">
        <v>255</v>
      </c>
      <c r="D8" s="156" t="s">
        <v>262</v>
      </c>
      <c r="E8" s="156" t="s">
        <v>326</v>
      </c>
      <c r="F8" s="156" t="s">
        <v>327</v>
      </c>
      <c r="G8" s="156" t="s">
        <v>328</v>
      </c>
      <c r="H8" s="347" t="s">
        <v>331</v>
      </c>
      <c r="I8" s="347" t="s">
        <v>332</v>
      </c>
      <c r="J8" s="347" t="s">
        <v>338</v>
      </c>
    </row>
    <row r="9" spans="1:12" ht="27" customHeight="1">
      <c r="A9" s="157">
        <v>1</v>
      </c>
      <c r="B9" s="158" t="s">
        <v>99</v>
      </c>
      <c r="C9" s="191">
        <f>GETPIVOTDATA("_COB",base_consulta_estado!$A$3,"Año",2018)</f>
        <v>3.8587193062876439</v>
      </c>
      <c r="D9" s="191">
        <f>GETPIVOTDATA("_COB",base_consulta_estado!$A$3,"Año",2019)</f>
        <v>3.9511727674392016</v>
      </c>
      <c r="E9" s="191">
        <f>GETPIVOTDATA("_COB",base_consulta_estado!$A$3,"Año",2020)</f>
        <v>4.0736959630258669</v>
      </c>
      <c r="F9" s="191">
        <f>GETPIVOTDATA("_COB",base_consulta_estado!$A$3,"Año",2021)</f>
        <v>4.0729883835106735</v>
      </c>
      <c r="G9" s="191">
        <f>GETPIVOTDATA("_COB",base_consulta_estado!$A$3,"Año",2022)</f>
        <v>4.29170870344094</v>
      </c>
      <c r="H9" s="348">
        <f>Tabla36[[#This Row],[2022]]-Tabla36[[#This Row],[2021]]</f>
        <v>0.21872031993026653</v>
      </c>
      <c r="I9" s="348">
        <f>Tabla36[[#This Row],[2022]]-Tabla36[[#This Row],[2018]]</f>
        <v>0.4329893971532961</v>
      </c>
      <c r="J9" s="349"/>
    </row>
    <row r="10" spans="1:12" ht="27" customHeight="1">
      <c r="A10" s="157">
        <v>2</v>
      </c>
      <c r="B10" s="158" t="s">
        <v>100</v>
      </c>
      <c r="C10" s="192">
        <f>GETPIVOTDATA("_ATN",base_consulta_estado!$A$3,"Año",2018)</f>
        <v>81.04278601558201</v>
      </c>
      <c r="D10" s="192">
        <f>GETPIVOTDATA("_ATN",base_consulta_estado!$A$3,"Año",2019)</f>
        <v>85.679834554313146</v>
      </c>
      <c r="E10" s="192">
        <f>GETPIVOTDATA("_ATN",base_consulta_estado!$A$3,"Año",2020)</f>
        <v>86.388435835630673</v>
      </c>
      <c r="F10" s="192">
        <f>GETPIVOTDATA("_ATN",base_consulta_estado!$A$3,"Año",2021)</f>
        <v>88.471603313694416</v>
      </c>
      <c r="G10" s="192">
        <f>GETPIVOTDATA("_ATN",base_consulta_estado!$A$3,"Año",2022)</f>
        <v>86.481377068753943</v>
      </c>
      <c r="H10" s="348">
        <f>Tabla36[[#This Row],[2022]]-Tabla36[[#This Row],[2021]]</f>
        <v>-1.9902262449404731</v>
      </c>
      <c r="I10" s="348">
        <f>Tabla36[[#This Row],[2022]]-Tabla36[[#This Row],[2018]]</f>
        <v>5.4385910531719333</v>
      </c>
      <c r="J10" s="349"/>
    </row>
    <row r="11" spans="1:12" ht="27" customHeight="1">
      <c r="A11" s="157">
        <v>3</v>
      </c>
      <c r="B11" s="158" t="s">
        <v>96</v>
      </c>
      <c r="C11" s="193">
        <f>GETPIVOTDATA("_ABS",base_consulta_estado!$A$3,"Año",2018)</f>
        <v>5.7563120080126753</v>
      </c>
      <c r="D11" s="193">
        <f>GETPIVOTDATA("_ABS",base_consulta_estado!$A$3,"Año",2019)</f>
        <v>6.2618384857804967</v>
      </c>
      <c r="E11" s="193">
        <f>GETPIVOTDATA("_ABS",base_consulta_estado!$A$3,"Año",2020)</f>
        <v>6.1427280475920947</v>
      </c>
      <c r="F11" s="193">
        <f>GETPIVOTDATA("_ABS",base_consulta_estado!$A$3,"Año",2021)</f>
        <v>5.8313559384679063</v>
      </c>
      <c r="G11" s="193">
        <f>GETPIVOTDATA("_ABS",base_consulta_estado!$A$3,"Año",2022)</f>
        <v>6.3773420070076163</v>
      </c>
      <c r="H11" s="348">
        <f>Tabla36[[#This Row],[2022]]-Tabla36[[#This Row],[2021]]</f>
        <v>0.54598606853970999</v>
      </c>
      <c r="I11" s="348">
        <f>Tabla36[[#This Row],[2022]]-Tabla36[[#This Row],[2018]]</f>
        <v>0.62102999899494105</v>
      </c>
      <c r="J11" s="349"/>
    </row>
    <row r="12" spans="1:12" ht="27" customHeight="1">
      <c r="A12" s="159">
        <v>4</v>
      </c>
      <c r="B12" s="160" t="s">
        <v>98</v>
      </c>
      <c r="C12" s="194">
        <f>GETPIVOTDATA("_MAT",base_consulta_estado!$A$3,"Año",2018)</f>
        <v>307859</v>
      </c>
      <c r="D12" s="194">
        <f>GETPIVOTDATA("_MAT",base_consulta_estado!$A$3,"Año",2019)</f>
        <v>306089</v>
      </c>
      <c r="E12" s="194">
        <f>GETPIVOTDATA("_MAT",base_consulta_estado!$A$3,"Año",2020)</f>
        <v>307031</v>
      </c>
      <c r="F12" s="194">
        <f>GETPIVOTDATA("_MAT",base_consulta_estado!$A$3,"Año",2021)</f>
        <v>309717</v>
      </c>
      <c r="G12" s="194">
        <f>GETPIVOTDATA("_MAT",base_consulta_estado!$A$3,"Año",2022)</f>
        <v>321053</v>
      </c>
      <c r="H12" s="350">
        <f>Tabla36[[#This Row],[2022]]-Tabla36[[#This Row],[2021]]</f>
        <v>11336</v>
      </c>
      <c r="I12" s="350">
        <f>Tabla36[[#This Row],[2022]]-Tabla36[[#This Row],[2018]]</f>
        <v>13194</v>
      </c>
      <c r="J12" s="349"/>
    </row>
    <row r="13" spans="1:12" ht="27" customHeight="1">
      <c r="A13" s="157">
        <v>5</v>
      </c>
      <c r="B13" s="158" t="s">
        <v>97</v>
      </c>
      <c r="C13" s="193">
        <f>GETPIVOTDATA("_ACI",base_consulta_estado!$A$3,"Año",2018)</f>
        <v>73.271848819497336</v>
      </c>
      <c r="D13" s="193">
        <f>GETPIVOTDATA("_ACI",base_consulta_estado!$A$3,"Año",2019)</f>
        <v>72.136359351432873</v>
      </c>
      <c r="E13" s="193">
        <f>GETPIVOTDATA("_ACI",base_consulta_estado!$A$3,"Año",2020)</f>
        <v>72.358361613876326</v>
      </c>
      <c r="F13" s="193">
        <f>GETPIVOTDATA("_ACI",base_consulta_estado!$A$3,"Año",2021)</f>
        <v>73.046462264150946</v>
      </c>
      <c r="G13" s="193">
        <f>GETPIVOTDATA("_ACI",base_consulta_estado!$A$3,"Año",2022)</f>
        <v>75.307984612497663</v>
      </c>
      <c r="H13" s="348">
        <f>Tabla36[[#This Row],[2022]]-Tabla36[[#This Row],[2021]]</f>
        <v>2.2615223483467162</v>
      </c>
      <c r="I13" s="348">
        <f>Tabla36[[#This Row],[2022]]-Tabla36[[#This Row],[2018]]</f>
        <v>2.0361357930003265</v>
      </c>
      <c r="J13" s="349"/>
    </row>
    <row r="14" spans="1:12" ht="27" customHeight="1">
      <c r="A14" s="157">
        <v>6</v>
      </c>
      <c r="B14" s="158" t="s">
        <v>150</v>
      </c>
      <c r="C14" s="193">
        <f>GETPIVOTDATA("_AE",base_consulta_estado!$A$3,"Año",2018)</f>
        <v>16.319880955435263</v>
      </c>
      <c r="D14" s="193">
        <f>GETPIVOTDATA("_AE",base_consulta_estado!$A$3,"Año",2019)</f>
        <v>15.580184435082289</v>
      </c>
      <c r="E14" s="193">
        <f>GETPIVOTDATA("_AE",base_consulta_estado!$A$3,"Año",2020)</f>
        <v>12.691080045346293</v>
      </c>
      <c r="F14" s="193">
        <f>GETPIVOTDATA("_AE",base_consulta_estado!$A$3,"Año",2021)</f>
        <v>14.848337789995147</v>
      </c>
      <c r="G14" s="193">
        <f>GETPIVOTDATA("_AE",base_consulta_estado!$A$3,"Año",2022)</f>
        <v>13.953060374470883</v>
      </c>
      <c r="H14" s="348">
        <f>Tabla36[[#This Row],[2022]]-Tabla36[[#This Row],[2021]]</f>
        <v>-0.89527741552426399</v>
      </c>
      <c r="I14" s="348">
        <f>Tabla36[[#This Row],[2022]]-Tabla36[[#This Row],[2018]]</f>
        <v>-2.3668205809643794</v>
      </c>
      <c r="J14" s="349"/>
    </row>
    <row r="15" spans="1:12" ht="27" customHeight="1">
      <c r="A15" s="157">
        <v>7</v>
      </c>
      <c r="B15" s="158" t="s">
        <v>151</v>
      </c>
      <c r="C15" s="193">
        <f>GETPIVOTDATA("_REP",base_consulta_estado!$A$3,"Año",2018)</f>
        <v>22.104985306280465</v>
      </c>
      <c r="D15" s="193">
        <f>GETPIVOTDATA("_REP",base_consulta_estado!$A$3,"Año",2019)</f>
        <v>19.023028965837586</v>
      </c>
      <c r="E15" s="193">
        <f>GETPIVOTDATA("_REP",base_consulta_estado!$A$3,"Año",2020)</f>
        <v>8.7322168197370793</v>
      </c>
      <c r="F15" s="193">
        <f>GETPIVOTDATA("_REP",base_consulta_estado!$A$3,"Año",2021)</f>
        <v>16.100551764714325</v>
      </c>
      <c r="G15" s="193">
        <f>GETPIVOTDATA("_REP",base_consulta_estado!$A$3,"Año",2022)</f>
        <v>16.964893445326261</v>
      </c>
      <c r="H15" s="348">
        <f>Tabla36[[#This Row],[2022]]-Tabla36[[#This Row],[2021]]</f>
        <v>0.86434168061193617</v>
      </c>
      <c r="I15" s="348">
        <f>Tabla36[[#This Row],[2022]]-Tabla36[[#This Row],[2018]]</f>
        <v>-5.1400918609542039</v>
      </c>
      <c r="J15" s="349"/>
    </row>
    <row r="16" spans="1:12" ht="27" customHeight="1">
      <c r="A16" s="157">
        <v>8</v>
      </c>
      <c r="B16" s="158" t="s">
        <v>235</v>
      </c>
      <c r="C16" s="193">
        <f>GETPIVOTDATA("_ET",base_consulta_estado!$A$3,"Año",2018)</f>
        <v>50.182474621570293</v>
      </c>
      <c r="D16" s="193">
        <f>GETPIVOTDATA("_ET",base_consulta_estado!$A$3,"Año",2019)</f>
        <v>53.131455399061032</v>
      </c>
      <c r="E16" s="193">
        <f>GETPIVOTDATA("_ET",base_consulta_estado!$A$3,"Año",2020)</f>
        <v>56.755098789037604</v>
      </c>
      <c r="F16" s="193">
        <f>GETPIVOTDATA("_ET",base_consulta_estado!$A$3,"Año",2021)</f>
        <v>55.71442939519914</v>
      </c>
      <c r="G16" s="193">
        <f>GETPIVOTDATA("_ET",base_consulta_estado!$A$3,"Año",2022)</f>
        <v>56.537498568132349</v>
      </c>
      <c r="H16" s="348">
        <f>Tabla36[[#This Row],[2022]]-Tabla36[[#This Row],[2021]]</f>
        <v>0.82306917293320936</v>
      </c>
      <c r="I16" s="348">
        <f>Tabla36[[#This Row],[2022]]-Tabla36[[#This Row],[2018]]</f>
        <v>6.3550239465620564</v>
      </c>
      <c r="J16" s="349"/>
    </row>
    <row r="17" spans="1:10" s="16" customFormat="1" ht="27" customHeight="1">
      <c r="A17" s="157">
        <v>9</v>
      </c>
      <c r="B17" s="158" t="s">
        <v>230</v>
      </c>
      <c r="C17" s="193">
        <f>GETPIVOTDATA("_TIT",base_consulta_estado!$A$3,"Año",2018)</f>
        <v>84.02268009922544</v>
      </c>
      <c r="D17" s="193">
        <f>GETPIVOTDATA("_TIT",base_consulta_estado!$A$3,"Año",2019)</f>
        <v>84.709180098107922</v>
      </c>
      <c r="E17" s="193">
        <f>GETPIVOTDATA("_TIT",base_consulta_estado!$A$3,"Año",2020)</f>
        <v>83.143353656740587</v>
      </c>
      <c r="F17" s="193">
        <f>GETPIVOTDATA("_TIT",base_consulta_estado!$A$3,"Año",2021)</f>
        <v>81.468016114768588</v>
      </c>
      <c r="G17" s="193">
        <f>GETPIVOTDATA("_TIT",base_consulta_estado!$A$3,"Año",2022)</f>
        <v>80.885759845954809</v>
      </c>
      <c r="H17" s="348">
        <f>Tabla36[[#This Row],[2022]]-Tabla36[[#This Row],[2021]]</f>
        <v>-0.58225626881377934</v>
      </c>
      <c r="I17" s="348">
        <f>Tabla36[[#This Row],[2022]]-Tabla36[[#This Row],[2018]]</f>
        <v>-3.1369202532706311</v>
      </c>
      <c r="J17" s="349"/>
    </row>
    <row r="18" spans="1:10" s="16" customFormat="1" ht="27" customHeight="1">
      <c r="A18" s="159">
        <v>10</v>
      </c>
      <c r="B18" s="160" t="s">
        <v>152</v>
      </c>
      <c r="C18" s="195">
        <f>GETPIVOTDATA("_COSTO",base_consulta_estado!$A$3,"Año",2018)</f>
        <v>17596.600771310896</v>
      </c>
      <c r="D18" s="195">
        <f>GETPIVOTDATA("_COSTO",base_consulta_estado!$A$3,"Año",2019)</f>
        <v>18155.932300017314</v>
      </c>
      <c r="E18" s="195">
        <f>GETPIVOTDATA("_COSTO",base_consulta_estado!$A$3,"Año",2020)</f>
        <v>18764.385872281084</v>
      </c>
      <c r="F18" s="195">
        <f>GETPIVOTDATA("_COSTO",base_consulta_estado!$A$3,"Año",2021)</f>
        <v>19454.776944934762</v>
      </c>
      <c r="G18" s="195">
        <f>GETPIVOTDATA("_COSTO",base_consulta_estado!$A$3,"Año",2022)</f>
        <v>19699.358796076998</v>
      </c>
      <c r="H18" s="351">
        <f>Tabla36[[#This Row],[2022]]-Tabla36[[#This Row],[2021]]</f>
        <v>244.5818511422367</v>
      </c>
      <c r="I18" s="351">
        <f>Tabla36[[#This Row],[2022]]-Tabla36[[#This Row],[2018]]</f>
        <v>2102.7580247661026</v>
      </c>
      <c r="J18" s="349"/>
    </row>
    <row r="19" spans="1:10" s="16" customFormat="1" ht="27" customHeight="1">
      <c r="A19" s="157">
        <v>11</v>
      </c>
      <c r="B19" s="158" t="s">
        <v>35</v>
      </c>
      <c r="C19" s="196">
        <f>GETPIVOTDATA("_ADOC",base_consulta_estado!$A$3,"Año",2018)</f>
        <v>19.570211683936176</v>
      </c>
      <c r="D19" s="196">
        <f>GETPIVOTDATA("_ADOC",base_consulta_estado!$A$3,"Año",2019)</f>
        <v>19.695579435042792</v>
      </c>
      <c r="E19" s="196">
        <f>GETPIVOTDATA("_ADOC",base_consulta_estado!$A$3,"Año",2020)</f>
        <v>19.987696113534277</v>
      </c>
      <c r="F19" s="196">
        <f>GETPIVOTDATA("_ADOC",base_consulta_estado!$A$3,"Año",2021)</f>
        <v>20.419106012658229</v>
      </c>
      <c r="G19" s="196">
        <f>GETPIVOTDATA("_ADOC",base_consulta_estado!$A$3,"Año",2022)</f>
        <v>21.226644628099173</v>
      </c>
      <c r="H19" s="348">
        <f>Tabla36[[#This Row],[2022]]-Tabla36[[#This Row],[2021]]</f>
        <v>0.80753861544094363</v>
      </c>
      <c r="I19" s="348">
        <f>Tabla36[[#This Row],[2022]]-Tabla36[[#This Row],[2018]]</f>
        <v>1.6564329441629972</v>
      </c>
      <c r="J19" s="349"/>
    </row>
    <row r="20" spans="1:10" s="16" customFormat="1" ht="27" customHeight="1">
      <c r="A20" s="157">
        <v>12</v>
      </c>
      <c r="B20" s="158" t="s">
        <v>236</v>
      </c>
      <c r="C20" s="196">
        <f>GETPIVOTDATA("_APC",base_consulta_estado!$A$3,"Año",2018)</f>
        <v>9.6625655189730395</v>
      </c>
      <c r="D20" s="196">
        <f>GETPIVOTDATA("_APC",base_consulta_estado!$A$3,"Año",2019)</f>
        <v>9.6070117071027283</v>
      </c>
      <c r="E20" s="196">
        <f>GETPIVOTDATA("_APC",base_consulta_estado!$A$3,"Año",2020)</f>
        <v>9.6365776340981135</v>
      </c>
      <c r="F20" s="196">
        <f>GETPIVOTDATA("_APC",base_consulta_estado!$A$3,"Año",2021)</f>
        <v>9.7208813282696713</v>
      </c>
      <c r="G20" s="196">
        <f>GETPIVOTDATA("_APC",base_consulta_estado!$A$3,"Año",2022)</f>
        <v>10.076676814914785</v>
      </c>
      <c r="H20" s="348">
        <f>Tabla36[[#This Row],[2022]]-Tabla36[[#This Row],[2021]]</f>
        <v>0.35579548664511407</v>
      </c>
      <c r="I20" s="348">
        <f>Tabla36[[#This Row],[2022]]-Tabla36[[#This Row],[2018]]</f>
        <v>0.41411129594174589</v>
      </c>
      <c r="J20" s="349"/>
    </row>
    <row r="21" spans="1:10" s="16" customFormat="1" ht="27" customHeight="1">
      <c r="A21" s="157">
        <v>13</v>
      </c>
      <c r="B21" s="158" t="s">
        <v>252</v>
      </c>
      <c r="C21" s="197">
        <f>GETPIVOTDATA("_CAP",base_consulta_estado!$A$3,"Año",2018)</f>
        <v>164018</v>
      </c>
      <c r="D21" s="197">
        <f>GETPIVOTDATA("_CAP",base_consulta_estado!$A$3,"Año",2019)</f>
        <v>149444</v>
      </c>
      <c r="E21" s="197">
        <f>GETPIVOTDATA("_CAP",base_consulta_estado!$A$3,"Año",2020)</f>
        <v>84543</v>
      </c>
      <c r="F21" s="197">
        <f>GETPIVOTDATA("_CAP",base_consulta_estado!$A$3,"Año",2021)</f>
        <v>119725</v>
      </c>
      <c r="G21" s="197">
        <f>GETPIVOTDATA("_CAP",base_consulta_estado!$A$3,"Año",2022)</f>
        <v>148628</v>
      </c>
      <c r="H21" s="348">
        <f>Tabla36[[#This Row],[2022]]-Tabla36[[#This Row],[2021]]</f>
        <v>28903</v>
      </c>
      <c r="I21" s="348">
        <f>Tabla36[[#This Row],[2022]]-Tabla36[[#This Row],[2018]]</f>
        <v>-15390</v>
      </c>
      <c r="J21" s="349"/>
    </row>
    <row r="22" spans="1:10" s="16" customFormat="1" ht="27" customHeight="1">
      <c r="A22" s="157">
        <v>14</v>
      </c>
      <c r="B22" s="158" t="s">
        <v>253</v>
      </c>
      <c r="C22" s="198">
        <f>GETPIVOTDATA("_SERVTEC",base_consulta_estado!$A$3,"Año",2018)</f>
        <v>20186</v>
      </c>
      <c r="D22" s="198">
        <f>GETPIVOTDATA("_SERVTEC",base_consulta_estado!$A$3,"Año",2019)</f>
        <v>17392</v>
      </c>
      <c r="E22" s="198">
        <f>GETPIVOTDATA("_SERVTEC",base_consulta_estado!$A$3,"Año",2020)</f>
        <v>6838</v>
      </c>
      <c r="F22" s="198">
        <f>GETPIVOTDATA("_SERVTEC",base_consulta_estado!$A$3,"Año",2021)</f>
        <v>9685</v>
      </c>
      <c r="G22" s="198">
        <f>GETPIVOTDATA("_SERVTEC",base_consulta_estado!$A$3,"Año",2022)</f>
        <v>11282</v>
      </c>
      <c r="H22" s="350">
        <f>Tabla36[[#This Row],[2022]]-Tabla36[[#This Row],[2021]]</f>
        <v>1597</v>
      </c>
      <c r="I22" s="350">
        <f>Tabla36[[#This Row],[2022]]-Tabla36[[#This Row],[2018]]</f>
        <v>-8904</v>
      </c>
      <c r="J22" s="349"/>
    </row>
    <row r="23" spans="1:10" s="16" customFormat="1" ht="27" customHeight="1">
      <c r="A23" s="159">
        <v>15</v>
      </c>
      <c r="B23" s="160" t="s">
        <v>336</v>
      </c>
      <c r="C23" s="198">
        <f>GETPIVOTDATA("_EVALU",base_consulta_estado!$A$3,"Año",2018)</f>
        <v>217109</v>
      </c>
      <c r="D23" s="198">
        <f>GETPIVOTDATA("_EVALU",base_consulta_estado!$A$3,"Año",2019)</f>
        <v>235963</v>
      </c>
      <c r="E23" s="198">
        <f>GETPIVOTDATA("_EVALU",base_consulta_estado!$A$3,"Año",2020)</f>
        <v>114862</v>
      </c>
      <c r="F23" s="198">
        <f>GETPIVOTDATA("_EVALU",base_consulta_estado!$A$3,"Año",2021)</f>
        <v>117603</v>
      </c>
      <c r="G23" s="198">
        <f>GETPIVOTDATA("_EVALU",base_consulta_estado!$A$3,"Año",2022)</f>
        <v>100911</v>
      </c>
      <c r="H23" s="350">
        <f>Tabla36[[#This Row],[2022]]-Tabla36[[#This Row],[2021]]</f>
        <v>-16692</v>
      </c>
      <c r="I23" s="350">
        <f>Tabla36[[#This Row],[2022]]-Tabla36[[#This Row],[2018]]</f>
        <v>-116198</v>
      </c>
      <c r="J23" s="349"/>
    </row>
    <row r="24" spans="1:10" s="16" customFormat="1" ht="27" customHeight="1">
      <c r="A24" s="157">
        <v>16</v>
      </c>
      <c r="B24" s="158" t="s">
        <v>254</v>
      </c>
      <c r="C24" s="198">
        <f>GETPIVOTDATA("_CERTIFIC",base_consulta_estado!$A$3,"Año",2018)</f>
        <v>163434</v>
      </c>
      <c r="D24" s="198">
        <f>GETPIVOTDATA("_CERTIFIC",base_consulta_estado!$A$3,"Año",2019)</f>
        <v>174827</v>
      </c>
      <c r="E24" s="198">
        <f>GETPIVOTDATA("_CERTIFIC",base_consulta_estado!$A$3,"Año",2020)</f>
        <v>88578</v>
      </c>
      <c r="F24" s="198">
        <f>GETPIVOTDATA("_CERTIFIC",base_consulta_estado!$A$3,"Año",2021)</f>
        <v>92502</v>
      </c>
      <c r="G24" s="198">
        <f>GETPIVOTDATA("_CERTIFIC",base_consulta_estado!$A$3,"Año",2022)</f>
        <v>78858</v>
      </c>
      <c r="H24" s="350">
        <f>Tabla36[[#This Row],[2022]]-Tabla36[[#This Row],[2021]]</f>
        <v>-13644</v>
      </c>
      <c r="I24" s="350">
        <f>Tabla36[[#This Row],[2022]]-Tabla36[[#This Row],[2018]]</f>
        <v>-84576</v>
      </c>
      <c r="J24" s="349"/>
    </row>
    <row r="25" spans="1:10" s="16" customFormat="1" ht="27" customHeight="1">
      <c r="A25" s="159">
        <v>17</v>
      </c>
      <c r="B25" s="160" t="s">
        <v>153</v>
      </c>
      <c r="C25" s="193">
        <f>GETPIVOTDATA("_BECEXT",base_consulta_estado!$A$3,"Año",2018)</f>
        <v>3.9060089196677703</v>
      </c>
      <c r="D25" s="193">
        <f>GETPIVOTDATA("_BECEXT",base_consulta_estado!$A$3,"Año",2019)</f>
        <v>3.8387527810538766</v>
      </c>
      <c r="E25" s="193">
        <f>GETPIVOTDATA("_BECEXT",base_consulta_estado!$A$3,"Año",2020)</f>
        <v>0.4162446137360723</v>
      </c>
      <c r="F25" s="193">
        <f>GETPIVOTDATA("_BECEXT",base_consulta_estado!$A$3,"Año",2021)</f>
        <v>1.9934327143811932</v>
      </c>
      <c r="G25" s="193">
        <f>GETPIVOTDATA("_BECEXT",base_consulta_estado!$A$3,"Año",2022)</f>
        <v>3.0219309584398837</v>
      </c>
      <c r="H25" s="348">
        <f>Tabla36[[#This Row],[2022]]-Tabla36[[#This Row],[2021]]</f>
        <v>1.0284982440586905</v>
      </c>
      <c r="I25" s="348">
        <f>Tabla36[[#This Row],[2022]]-Tabla36[[#This Row],[2018]]</f>
        <v>-0.88407796122788662</v>
      </c>
      <c r="J25" s="349"/>
    </row>
    <row r="26" spans="1:10" s="16" customFormat="1" ht="27" customHeight="1">
      <c r="A26" s="157">
        <v>18</v>
      </c>
      <c r="B26" s="158" t="s">
        <v>337</v>
      </c>
      <c r="C26" s="192"/>
      <c r="D26" s="192"/>
      <c r="E26" s="192"/>
      <c r="F26" s="192">
        <f>GETPIVOTDATA("_ACOLO",base_consulta_estado!$A$3,"Año",2021)</f>
        <v>85.70811744386873</v>
      </c>
      <c r="G26" s="192">
        <f>GETPIVOTDATA("_ACOLO",base_consulta_estado!$A$3,"Año",2022)</f>
        <v>77.453546192096312</v>
      </c>
      <c r="H26" s="348">
        <f>Tabla36[[#This Row],[2022]]-Tabla36[[#This Row],[2021]]</f>
        <v>-8.2545712517724183</v>
      </c>
      <c r="I26" s="348"/>
      <c r="J26" s="349"/>
    </row>
    <row r="27" spans="1:10" s="16" customFormat="1">
      <c r="A27" s="149"/>
      <c r="B27" s="150"/>
      <c r="C27" s="149"/>
      <c r="D27" s="149"/>
      <c r="E27" s="149"/>
      <c r="F27" s="149"/>
      <c r="G27" s="149"/>
    </row>
  </sheetData>
  <mergeCells count="1">
    <mergeCell ref="A4:J4"/>
  </mergeCells>
  <printOptions horizontalCentered="1"/>
  <pageMargins left="0.25" right="0.25" top="0.75" bottom="0.75" header="0.3" footer="0.3"/>
  <pageSetup scale="63"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80" id="{BFF80AD4-D137-468F-9E5C-CCBE80C72A27}">
            <x14:iconSet iconSet="3Triangles">
              <x14:cfvo type="percent">
                <xm:f>0</xm:f>
              </x14:cfvo>
              <x14:cfvo type="percent">
                <xm:f>33</xm:f>
              </x14:cfvo>
              <x14:cfvo type="percent">
                <xm:f>67</xm:f>
              </x14:cfvo>
            </x14:iconSet>
          </x14:cfRule>
          <xm:sqref>D9:E9</xm:sqref>
        </x14:conditionalFormatting>
        <x14:conditionalFormatting xmlns:xm="http://schemas.microsoft.com/office/excel/2006/main">
          <x14:cfRule type="iconSet" priority="79" id="{71521165-CB44-4CDA-89B5-E62855148833}">
            <x14:iconSet iconSet="3Triangles">
              <x14:cfvo type="percent">
                <xm:f>0</xm:f>
              </x14:cfvo>
              <x14:cfvo type="percent">
                <xm:f>33</xm:f>
              </x14:cfvo>
              <x14:cfvo type="percent">
                <xm:f>67</xm:f>
              </x14:cfvo>
            </x14:iconSet>
          </x14:cfRule>
          <xm:sqref>D10:E10</xm:sqref>
        </x14:conditionalFormatting>
        <x14:conditionalFormatting xmlns:xm="http://schemas.microsoft.com/office/excel/2006/main">
          <x14:cfRule type="iconSet" priority="78" id="{B16B8E43-6B1C-4BB9-A6A4-472E8D42B109}">
            <x14:iconSet iconSet="3Triangles">
              <x14:cfvo type="percent">
                <xm:f>0</xm:f>
              </x14:cfvo>
              <x14:cfvo type="percent">
                <xm:f>33</xm:f>
              </x14:cfvo>
              <x14:cfvo type="percent">
                <xm:f>67</xm:f>
              </x14:cfvo>
            </x14:iconSet>
          </x14:cfRule>
          <xm:sqref>D11:E11</xm:sqref>
        </x14:conditionalFormatting>
        <x14:conditionalFormatting xmlns:xm="http://schemas.microsoft.com/office/excel/2006/main">
          <x14:cfRule type="iconSet" priority="77" id="{C719D244-76CB-4ECA-93E1-A6B89F2FA595}">
            <x14:iconSet iconSet="3Triangles">
              <x14:cfvo type="percent">
                <xm:f>0</xm:f>
              </x14:cfvo>
              <x14:cfvo type="percent">
                <xm:f>33</xm:f>
              </x14:cfvo>
              <x14:cfvo type="percent">
                <xm:f>67</xm:f>
              </x14:cfvo>
            </x14:iconSet>
          </x14:cfRule>
          <xm:sqref>D12:E12</xm:sqref>
        </x14:conditionalFormatting>
        <x14:conditionalFormatting xmlns:xm="http://schemas.microsoft.com/office/excel/2006/main">
          <x14:cfRule type="iconSet" priority="76" id="{C79E06A0-6693-4769-823C-CB541B0900EE}">
            <x14:iconSet iconSet="3Triangles">
              <x14:cfvo type="percent">
                <xm:f>0</xm:f>
              </x14:cfvo>
              <x14:cfvo type="percent">
                <xm:f>33</xm:f>
              </x14:cfvo>
              <x14:cfvo type="percent">
                <xm:f>67</xm:f>
              </x14:cfvo>
            </x14:iconSet>
          </x14:cfRule>
          <xm:sqref>D13:E13</xm:sqref>
        </x14:conditionalFormatting>
        <x14:conditionalFormatting xmlns:xm="http://schemas.microsoft.com/office/excel/2006/main">
          <x14:cfRule type="iconSet" priority="75" id="{C74410B8-C16C-4D08-9C52-6CA8C5197E46}">
            <x14:iconSet iconSet="3Triangles" reverse="1">
              <x14:cfvo type="percent">
                <xm:f>0</xm:f>
              </x14:cfvo>
              <x14:cfvo type="percent">
                <xm:f>33</xm:f>
              </x14:cfvo>
              <x14:cfvo type="percent">
                <xm:f>67</xm:f>
              </x14:cfvo>
            </x14:iconSet>
          </x14:cfRule>
          <xm:sqref>D14:E14</xm:sqref>
        </x14:conditionalFormatting>
        <x14:conditionalFormatting xmlns:xm="http://schemas.microsoft.com/office/excel/2006/main">
          <x14:cfRule type="iconSet" priority="74" id="{588DEA55-C167-4D0D-A425-0CC1D15E5EB3}">
            <x14:iconSet iconSet="3Triangles">
              <x14:cfvo type="percent">
                <xm:f>0</xm:f>
              </x14:cfvo>
              <x14:cfvo type="percent">
                <xm:f>33</xm:f>
              </x14:cfvo>
              <x14:cfvo type="percent">
                <xm:f>67</xm:f>
              </x14:cfvo>
            </x14:iconSet>
          </x14:cfRule>
          <xm:sqref>D15:E15</xm:sqref>
        </x14:conditionalFormatting>
        <x14:conditionalFormatting xmlns:xm="http://schemas.microsoft.com/office/excel/2006/main">
          <x14:cfRule type="iconSet" priority="72" id="{050D3C29-EF07-4308-8F6E-F305E02056BF}">
            <x14:iconSet iconSet="3Triangles">
              <x14:cfvo type="percent">
                <xm:f>0</xm:f>
              </x14:cfvo>
              <x14:cfvo type="percent">
                <xm:f>33</xm:f>
              </x14:cfvo>
              <x14:cfvo type="percent">
                <xm:f>67</xm:f>
              </x14:cfvo>
            </x14:iconSet>
          </x14:cfRule>
          <xm:sqref>D16:E16</xm:sqref>
        </x14:conditionalFormatting>
        <x14:conditionalFormatting xmlns:xm="http://schemas.microsoft.com/office/excel/2006/main">
          <x14:cfRule type="iconSet" priority="71" id="{D27036D9-5C49-4482-8496-7324D10C6160}">
            <x14:iconSet iconSet="3Triangles">
              <x14:cfvo type="percent">
                <xm:f>0</xm:f>
              </x14:cfvo>
              <x14:cfvo type="percent">
                <xm:f>33</xm:f>
              </x14:cfvo>
              <x14:cfvo type="percent">
                <xm:f>67</xm:f>
              </x14:cfvo>
            </x14:iconSet>
          </x14:cfRule>
          <xm:sqref>D17:E17</xm:sqref>
        </x14:conditionalFormatting>
        <x14:conditionalFormatting xmlns:xm="http://schemas.microsoft.com/office/excel/2006/main">
          <x14:cfRule type="iconSet" priority="70" id="{2270A86D-3890-4372-90FE-C2DB6513335E}">
            <x14:iconSet iconSet="3Triangles" reverse="1">
              <x14:cfvo type="percent">
                <xm:f>0</xm:f>
              </x14:cfvo>
              <x14:cfvo type="percent">
                <xm:f>33</xm:f>
              </x14:cfvo>
              <x14:cfvo type="percent">
                <xm:f>67</xm:f>
              </x14:cfvo>
            </x14:iconSet>
          </x14:cfRule>
          <xm:sqref>D19:E19</xm:sqref>
        </x14:conditionalFormatting>
        <x14:conditionalFormatting xmlns:xm="http://schemas.microsoft.com/office/excel/2006/main">
          <x14:cfRule type="iconSet" priority="68" id="{F453BD7B-D233-4F18-BB33-842048DD12D0}">
            <x14:iconSet iconSet="3Triangles" reverse="1">
              <x14:cfvo type="percent">
                <xm:f>0</xm:f>
              </x14:cfvo>
              <x14:cfvo type="percent">
                <xm:f>33</xm:f>
              </x14:cfvo>
              <x14:cfvo type="percent">
                <xm:f>67</xm:f>
              </x14:cfvo>
            </x14:iconSet>
          </x14:cfRule>
          <xm:sqref>D20:E20</xm:sqref>
        </x14:conditionalFormatting>
        <x14:conditionalFormatting xmlns:xm="http://schemas.microsoft.com/office/excel/2006/main">
          <x14:cfRule type="iconSet" priority="66" id="{537A9436-C959-414F-B7E1-0BB6CB1BCBA8}">
            <x14:iconSet iconSet="3Triangles">
              <x14:cfvo type="percent">
                <xm:f>0</xm:f>
              </x14:cfvo>
              <x14:cfvo type="percent">
                <xm:f>33</xm:f>
              </x14:cfvo>
              <x14:cfvo type="percent">
                <xm:f>67</xm:f>
              </x14:cfvo>
            </x14:iconSet>
          </x14:cfRule>
          <xm:sqref>D21:E21</xm:sqref>
        </x14:conditionalFormatting>
        <x14:conditionalFormatting xmlns:xm="http://schemas.microsoft.com/office/excel/2006/main">
          <x14:cfRule type="iconSet" priority="65" id="{F59C629C-B912-42E9-ACE5-D881080AB230}">
            <x14:iconSet iconSet="3Triangles">
              <x14:cfvo type="percent">
                <xm:f>0</xm:f>
              </x14:cfvo>
              <x14:cfvo type="percent">
                <xm:f>33</xm:f>
              </x14:cfvo>
              <x14:cfvo type="percent">
                <xm:f>67</xm:f>
              </x14:cfvo>
            </x14:iconSet>
          </x14:cfRule>
          <xm:sqref>D22:E23</xm:sqref>
        </x14:conditionalFormatting>
        <x14:conditionalFormatting xmlns:xm="http://schemas.microsoft.com/office/excel/2006/main">
          <x14:cfRule type="iconSet" priority="64" id="{FDB68133-C92B-4822-A2CA-ADB07E192B58}">
            <x14:iconSet iconSet="3Triangles">
              <x14:cfvo type="percent">
                <xm:f>0</xm:f>
              </x14:cfvo>
              <x14:cfvo type="percent">
                <xm:f>33</xm:f>
              </x14:cfvo>
              <x14:cfvo type="percent">
                <xm:f>67</xm:f>
              </x14:cfvo>
            </x14:iconSet>
          </x14:cfRule>
          <xm:sqref>D24:E24</xm:sqref>
        </x14:conditionalFormatting>
        <x14:conditionalFormatting xmlns:xm="http://schemas.microsoft.com/office/excel/2006/main">
          <x14:cfRule type="iconSet" priority="63" id="{6CE8897E-ADF5-4D8B-9733-9DD458449CA7}">
            <x14:iconSet iconSet="3Triangles">
              <x14:cfvo type="percent">
                <xm:f>0</xm:f>
              </x14:cfvo>
              <x14:cfvo type="percent">
                <xm:f>33</xm:f>
              </x14:cfvo>
              <x14:cfvo type="percent">
                <xm:f>67</xm:f>
              </x14:cfvo>
            </x14:iconSet>
          </x14:cfRule>
          <xm:sqref>D25:E25</xm:sqref>
        </x14:conditionalFormatting>
        <x14:conditionalFormatting xmlns:xm="http://schemas.microsoft.com/office/excel/2006/main">
          <x14:cfRule type="iconSet" priority="62" id="{EFA8ACE7-5928-46C0-8846-9AEA73840083}">
            <x14:iconSet iconSet="3Triangles">
              <x14:cfvo type="percent">
                <xm:f>0</xm:f>
              </x14:cfvo>
              <x14:cfvo type="percent">
                <xm:f>33</xm:f>
              </x14:cfvo>
              <x14:cfvo type="percent">
                <xm:f>67</xm:f>
              </x14:cfvo>
            </x14:iconSet>
          </x14:cfRule>
          <xm:sqref>D26:E26</xm:sqref>
        </x14:conditionalFormatting>
        <x14:conditionalFormatting xmlns:xm="http://schemas.microsoft.com/office/excel/2006/main">
          <x14:cfRule type="iconSet" priority="61" id="{C3450995-FA9D-47B0-B07C-5567F2D2770D}">
            <x14:iconSet iconSet="3Triangles" reverse="1">
              <x14:cfvo type="percent">
                <xm:f>0</xm:f>
              </x14:cfvo>
              <x14:cfvo type="percent">
                <xm:f>33</xm:f>
              </x14:cfvo>
              <x14:cfvo type="percent">
                <xm:f>67</xm:f>
              </x14:cfvo>
            </x14:iconSet>
          </x14:cfRule>
          <xm:sqref>D18:E18</xm:sqref>
        </x14:conditionalFormatting>
        <x14:conditionalFormatting xmlns:xm="http://schemas.microsoft.com/office/excel/2006/main">
          <x14:cfRule type="iconSet" priority="102" id="{269DCBA0-24DA-4FA0-9D52-9852906E1123}">
            <x14:iconSet iconSet="3Triangles">
              <x14:cfvo type="percent">
                <xm:f>0</xm:f>
              </x14:cfvo>
              <x14:cfvo type="percent">
                <xm:f>33</xm:f>
              </x14:cfvo>
              <x14:cfvo type="percent">
                <xm:f>67</xm:f>
              </x14:cfvo>
            </x14:iconSet>
          </x14:cfRule>
          <xm:sqref>C9</xm:sqref>
        </x14:conditionalFormatting>
        <x14:conditionalFormatting xmlns:xm="http://schemas.microsoft.com/office/excel/2006/main">
          <x14:cfRule type="iconSet" priority="103" id="{AB3AFA98-7AA5-47B6-A236-05308051E547}">
            <x14:iconSet iconSet="3Triangles">
              <x14:cfvo type="percent">
                <xm:f>0</xm:f>
              </x14:cfvo>
              <x14:cfvo type="percent">
                <xm:f>33</xm:f>
              </x14:cfvo>
              <x14:cfvo type="percent">
                <xm:f>67</xm:f>
              </x14:cfvo>
            </x14:iconSet>
          </x14:cfRule>
          <xm:sqref>C10</xm:sqref>
        </x14:conditionalFormatting>
        <x14:conditionalFormatting xmlns:xm="http://schemas.microsoft.com/office/excel/2006/main">
          <x14:cfRule type="iconSet" priority="104" id="{BB076D63-2844-4B86-9282-2452254E98A6}">
            <x14:iconSet iconSet="3Triangles">
              <x14:cfvo type="percent">
                <xm:f>0</xm:f>
              </x14:cfvo>
              <x14:cfvo type="percent">
                <xm:f>33</xm:f>
              </x14:cfvo>
              <x14:cfvo type="percent">
                <xm:f>67</xm:f>
              </x14:cfvo>
            </x14:iconSet>
          </x14:cfRule>
          <xm:sqref>C11</xm:sqref>
        </x14:conditionalFormatting>
        <x14:conditionalFormatting xmlns:xm="http://schemas.microsoft.com/office/excel/2006/main">
          <x14:cfRule type="iconSet" priority="105" id="{9F1A3BB0-390C-4548-A209-2931122BE019}">
            <x14:iconSet iconSet="3Triangles">
              <x14:cfvo type="percent">
                <xm:f>0</xm:f>
              </x14:cfvo>
              <x14:cfvo type="percent">
                <xm:f>33</xm:f>
              </x14:cfvo>
              <x14:cfvo type="percent">
                <xm:f>67</xm:f>
              </x14:cfvo>
            </x14:iconSet>
          </x14:cfRule>
          <xm:sqref>C12</xm:sqref>
        </x14:conditionalFormatting>
        <x14:conditionalFormatting xmlns:xm="http://schemas.microsoft.com/office/excel/2006/main">
          <x14:cfRule type="iconSet" priority="106" id="{08F89DE1-EB53-468A-BE40-7B4F1BF0CEEC}">
            <x14:iconSet iconSet="3Triangles">
              <x14:cfvo type="percent">
                <xm:f>0</xm:f>
              </x14:cfvo>
              <x14:cfvo type="percent">
                <xm:f>33</xm:f>
              </x14:cfvo>
              <x14:cfvo type="percent">
                <xm:f>67</xm:f>
              </x14:cfvo>
            </x14:iconSet>
          </x14:cfRule>
          <xm:sqref>C13</xm:sqref>
        </x14:conditionalFormatting>
        <x14:conditionalFormatting xmlns:xm="http://schemas.microsoft.com/office/excel/2006/main">
          <x14:cfRule type="iconSet" priority="107" id="{58B30B70-A609-4890-9885-5CECE49B9E95}">
            <x14:iconSet iconSet="3Triangles" reverse="1">
              <x14:cfvo type="percent">
                <xm:f>0</xm:f>
              </x14:cfvo>
              <x14:cfvo type="percent">
                <xm:f>33</xm:f>
              </x14:cfvo>
              <x14:cfvo type="percent">
                <xm:f>67</xm:f>
              </x14:cfvo>
            </x14:iconSet>
          </x14:cfRule>
          <xm:sqref>C14</xm:sqref>
        </x14:conditionalFormatting>
        <x14:conditionalFormatting xmlns:xm="http://schemas.microsoft.com/office/excel/2006/main">
          <x14:cfRule type="iconSet" priority="108" id="{0FF9C742-7126-400D-902F-FB2CF84A69E4}">
            <x14:iconSet iconSet="3Triangles">
              <x14:cfvo type="percent">
                <xm:f>0</xm:f>
              </x14:cfvo>
              <x14:cfvo type="percent">
                <xm:f>33</xm:f>
              </x14:cfvo>
              <x14:cfvo type="percent">
                <xm:f>67</xm:f>
              </x14:cfvo>
            </x14:iconSet>
          </x14:cfRule>
          <xm:sqref>C15</xm:sqref>
        </x14:conditionalFormatting>
        <x14:conditionalFormatting xmlns:xm="http://schemas.microsoft.com/office/excel/2006/main">
          <x14:cfRule type="iconSet" priority="110" id="{78C61692-77A2-489C-BDF8-BC72464D9936}">
            <x14:iconSet iconSet="3Triangles">
              <x14:cfvo type="percent">
                <xm:f>0</xm:f>
              </x14:cfvo>
              <x14:cfvo type="percent">
                <xm:f>33</xm:f>
              </x14:cfvo>
              <x14:cfvo type="percent">
                <xm:f>67</xm:f>
              </x14:cfvo>
            </x14:iconSet>
          </x14:cfRule>
          <xm:sqref>C16</xm:sqref>
        </x14:conditionalFormatting>
        <x14:conditionalFormatting xmlns:xm="http://schemas.microsoft.com/office/excel/2006/main">
          <x14:cfRule type="iconSet" priority="111" id="{87D51F09-71EF-423A-A297-F4FDCD7E37E5}">
            <x14:iconSet iconSet="3Triangles">
              <x14:cfvo type="percent">
                <xm:f>0</xm:f>
              </x14:cfvo>
              <x14:cfvo type="percent">
                <xm:f>33</xm:f>
              </x14:cfvo>
              <x14:cfvo type="percent">
                <xm:f>67</xm:f>
              </x14:cfvo>
            </x14:iconSet>
          </x14:cfRule>
          <xm:sqref>C17</xm:sqref>
        </x14:conditionalFormatting>
        <x14:conditionalFormatting xmlns:xm="http://schemas.microsoft.com/office/excel/2006/main">
          <x14:cfRule type="iconSet" priority="112" id="{876BF356-823B-46AB-92C0-72F161E4C7D5}">
            <x14:iconSet iconSet="3Triangles" reverse="1">
              <x14:cfvo type="percent">
                <xm:f>0</xm:f>
              </x14:cfvo>
              <x14:cfvo type="percent">
                <xm:f>33</xm:f>
              </x14:cfvo>
              <x14:cfvo type="percent">
                <xm:f>67</xm:f>
              </x14:cfvo>
            </x14:iconSet>
          </x14:cfRule>
          <xm:sqref>C19</xm:sqref>
        </x14:conditionalFormatting>
        <x14:conditionalFormatting xmlns:xm="http://schemas.microsoft.com/office/excel/2006/main">
          <x14:cfRule type="iconSet" priority="114" id="{BE0FEFEE-C09D-44DA-B181-1405A340A135}">
            <x14:iconSet iconSet="3Triangles" reverse="1">
              <x14:cfvo type="percent">
                <xm:f>0</xm:f>
              </x14:cfvo>
              <x14:cfvo type="percent">
                <xm:f>33</xm:f>
              </x14:cfvo>
              <x14:cfvo type="percent">
                <xm:f>67</xm:f>
              </x14:cfvo>
            </x14:iconSet>
          </x14:cfRule>
          <xm:sqref>C20</xm:sqref>
        </x14:conditionalFormatting>
        <x14:conditionalFormatting xmlns:xm="http://schemas.microsoft.com/office/excel/2006/main">
          <x14:cfRule type="iconSet" priority="116" id="{C40201F0-CEB5-44E6-B859-4A86FA58549E}">
            <x14:iconSet iconSet="3Triangles">
              <x14:cfvo type="percent">
                <xm:f>0</xm:f>
              </x14:cfvo>
              <x14:cfvo type="percent">
                <xm:f>33</xm:f>
              </x14:cfvo>
              <x14:cfvo type="percent">
                <xm:f>67</xm:f>
              </x14:cfvo>
            </x14:iconSet>
          </x14:cfRule>
          <xm:sqref>C21</xm:sqref>
        </x14:conditionalFormatting>
        <x14:conditionalFormatting xmlns:xm="http://schemas.microsoft.com/office/excel/2006/main">
          <x14:cfRule type="iconSet" priority="117" id="{351B422C-922C-4876-8A39-F1CBEA1B53AA}">
            <x14:iconSet iconSet="3Triangles">
              <x14:cfvo type="percent">
                <xm:f>0</xm:f>
              </x14:cfvo>
              <x14:cfvo type="percent">
                <xm:f>33</xm:f>
              </x14:cfvo>
              <x14:cfvo type="percent">
                <xm:f>67</xm:f>
              </x14:cfvo>
            </x14:iconSet>
          </x14:cfRule>
          <xm:sqref>C22:C23</xm:sqref>
        </x14:conditionalFormatting>
        <x14:conditionalFormatting xmlns:xm="http://schemas.microsoft.com/office/excel/2006/main">
          <x14:cfRule type="iconSet" priority="118" id="{334428DE-FDDD-432E-AC10-3404846EB115}">
            <x14:iconSet iconSet="3Triangles">
              <x14:cfvo type="percent">
                <xm:f>0</xm:f>
              </x14:cfvo>
              <x14:cfvo type="percent">
                <xm:f>33</xm:f>
              </x14:cfvo>
              <x14:cfvo type="percent">
                <xm:f>67</xm:f>
              </x14:cfvo>
            </x14:iconSet>
          </x14:cfRule>
          <xm:sqref>C24</xm:sqref>
        </x14:conditionalFormatting>
        <x14:conditionalFormatting xmlns:xm="http://schemas.microsoft.com/office/excel/2006/main">
          <x14:cfRule type="iconSet" priority="119" id="{71D37D56-B08A-4AD0-ABF4-F753D0E19550}">
            <x14:iconSet iconSet="3Triangles">
              <x14:cfvo type="percent">
                <xm:f>0</xm:f>
              </x14:cfvo>
              <x14:cfvo type="percent">
                <xm:f>33</xm:f>
              </x14:cfvo>
              <x14:cfvo type="percent">
                <xm:f>67</xm:f>
              </x14:cfvo>
            </x14:iconSet>
          </x14:cfRule>
          <xm:sqref>C25</xm:sqref>
        </x14:conditionalFormatting>
        <x14:conditionalFormatting xmlns:xm="http://schemas.microsoft.com/office/excel/2006/main">
          <x14:cfRule type="iconSet" priority="120" id="{3B8A1600-D289-4975-AA07-CF33824EB9E4}">
            <x14:iconSet iconSet="3Triangles">
              <x14:cfvo type="percent">
                <xm:f>0</xm:f>
              </x14:cfvo>
              <x14:cfvo type="percent">
                <xm:f>33</xm:f>
              </x14:cfvo>
              <x14:cfvo type="percent">
                <xm:f>67</xm:f>
              </x14:cfvo>
            </x14:iconSet>
          </x14:cfRule>
          <xm:sqref>C26</xm:sqref>
        </x14:conditionalFormatting>
        <x14:conditionalFormatting xmlns:xm="http://schemas.microsoft.com/office/excel/2006/main">
          <x14:cfRule type="iconSet" priority="121" id="{83A23C16-1B61-4B7D-A581-9EF77A4BB8A7}">
            <x14:iconSet iconSet="3Triangles" reverse="1">
              <x14:cfvo type="percent">
                <xm:f>0</xm:f>
              </x14:cfvo>
              <x14:cfvo type="percent">
                <xm:f>33</xm:f>
              </x14:cfvo>
              <x14:cfvo type="percent">
                <xm:f>67</xm:f>
              </x14:cfvo>
            </x14:iconSet>
          </x14:cfRule>
          <xm:sqref>C18</xm:sqref>
        </x14:conditionalFormatting>
        <x14:conditionalFormatting xmlns:xm="http://schemas.microsoft.com/office/excel/2006/main">
          <x14:cfRule type="iconSet" priority="60" id="{BF031408-3573-47E4-9668-25BFB2BE7CEF}">
            <x14:iconSet iconSet="3Triangles">
              <x14:cfvo type="percent">
                <xm:f>0</xm:f>
              </x14:cfvo>
              <x14:cfvo type="percent">
                <xm:f>33</xm:f>
              </x14:cfvo>
              <x14:cfvo type="percent">
                <xm:f>67</xm:f>
              </x14:cfvo>
            </x14:iconSet>
          </x14:cfRule>
          <xm:sqref>F9</xm:sqref>
        </x14:conditionalFormatting>
        <x14:conditionalFormatting xmlns:xm="http://schemas.microsoft.com/office/excel/2006/main">
          <x14:cfRule type="iconSet" priority="59" id="{57DBED3F-26EB-4415-A0D3-82BCD600B9BD}">
            <x14:iconSet iconSet="3Triangles">
              <x14:cfvo type="percent">
                <xm:f>0</xm:f>
              </x14:cfvo>
              <x14:cfvo type="percent">
                <xm:f>33</xm:f>
              </x14:cfvo>
              <x14:cfvo type="percent">
                <xm:f>67</xm:f>
              </x14:cfvo>
            </x14:iconSet>
          </x14:cfRule>
          <xm:sqref>F10</xm:sqref>
        </x14:conditionalFormatting>
        <x14:conditionalFormatting xmlns:xm="http://schemas.microsoft.com/office/excel/2006/main">
          <x14:cfRule type="iconSet" priority="58" id="{9FD75704-0DC7-4495-AFA4-BED7B5F22BCE}">
            <x14:iconSet iconSet="3Triangles">
              <x14:cfvo type="percent">
                <xm:f>0</xm:f>
              </x14:cfvo>
              <x14:cfvo type="percent">
                <xm:f>33</xm:f>
              </x14:cfvo>
              <x14:cfvo type="percent">
                <xm:f>67</xm:f>
              </x14:cfvo>
            </x14:iconSet>
          </x14:cfRule>
          <xm:sqref>F11</xm:sqref>
        </x14:conditionalFormatting>
        <x14:conditionalFormatting xmlns:xm="http://schemas.microsoft.com/office/excel/2006/main">
          <x14:cfRule type="iconSet" priority="57" id="{416FAB5E-3629-48CE-A60B-4A0354B0E57F}">
            <x14:iconSet iconSet="3Triangles">
              <x14:cfvo type="percent">
                <xm:f>0</xm:f>
              </x14:cfvo>
              <x14:cfvo type="percent">
                <xm:f>33</xm:f>
              </x14:cfvo>
              <x14:cfvo type="percent">
                <xm:f>67</xm:f>
              </x14:cfvo>
            </x14:iconSet>
          </x14:cfRule>
          <xm:sqref>F12</xm:sqref>
        </x14:conditionalFormatting>
        <x14:conditionalFormatting xmlns:xm="http://schemas.microsoft.com/office/excel/2006/main">
          <x14:cfRule type="iconSet" priority="56" id="{AE0EF752-F9FD-42BD-B4DA-E5B360C30E95}">
            <x14:iconSet iconSet="3Triangles">
              <x14:cfvo type="percent">
                <xm:f>0</xm:f>
              </x14:cfvo>
              <x14:cfvo type="percent">
                <xm:f>33</xm:f>
              </x14:cfvo>
              <x14:cfvo type="percent">
                <xm:f>67</xm:f>
              </x14:cfvo>
            </x14:iconSet>
          </x14:cfRule>
          <xm:sqref>F13</xm:sqref>
        </x14:conditionalFormatting>
        <x14:conditionalFormatting xmlns:xm="http://schemas.microsoft.com/office/excel/2006/main">
          <x14:cfRule type="iconSet" priority="55" id="{469E75BA-0EFF-41CB-B540-A2129AAB0058}">
            <x14:iconSet iconSet="3Triangles" reverse="1">
              <x14:cfvo type="percent">
                <xm:f>0</xm:f>
              </x14:cfvo>
              <x14:cfvo type="percent">
                <xm:f>33</xm:f>
              </x14:cfvo>
              <x14:cfvo type="percent">
                <xm:f>67</xm:f>
              </x14:cfvo>
            </x14:iconSet>
          </x14:cfRule>
          <xm:sqref>F14</xm:sqref>
        </x14:conditionalFormatting>
        <x14:conditionalFormatting xmlns:xm="http://schemas.microsoft.com/office/excel/2006/main">
          <x14:cfRule type="iconSet" priority="54" id="{2972F246-3AF0-485C-B27A-66099E5165ED}">
            <x14:iconSet iconSet="3Triangles">
              <x14:cfvo type="percent">
                <xm:f>0</xm:f>
              </x14:cfvo>
              <x14:cfvo type="percent">
                <xm:f>33</xm:f>
              </x14:cfvo>
              <x14:cfvo type="percent">
                <xm:f>67</xm:f>
              </x14:cfvo>
            </x14:iconSet>
          </x14:cfRule>
          <xm:sqref>F15</xm:sqref>
        </x14:conditionalFormatting>
        <x14:conditionalFormatting xmlns:xm="http://schemas.microsoft.com/office/excel/2006/main">
          <x14:cfRule type="iconSet" priority="52" id="{F7CC634B-19B5-49AA-A9D1-AE842B9DEA99}">
            <x14:iconSet iconSet="3Triangles">
              <x14:cfvo type="percent">
                <xm:f>0</xm:f>
              </x14:cfvo>
              <x14:cfvo type="percent">
                <xm:f>33</xm:f>
              </x14:cfvo>
              <x14:cfvo type="percent">
                <xm:f>67</xm:f>
              </x14:cfvo>
            </x14:iconSet>
          </x14:cfRule>
          <xm:sqref>F16</xm:sqref>
        </x14:conditionalFormatting>
        <x14:conditionalFormatting xmlns:xm="http://schemas.microsoft.com/office/excel/2006/main">
          <x14:cfRule type="iconSet" priority="51" id="{51A5883F-FABA-46E5-A783-7E0301AA9633}">
            <x14:iconSet iconSet="3Triangles">
              <x14:cfvo type="percent">
                <xm:f>0</xm:f>
              </x14:cfvo>
              <x14:cfvo type="percent">
                <xm:f>33</xm:f>
              </x14:cfvo>
              <x14:cfvo type="percent">
                <xm:f>67</xm:f>
              </x14:cfvo>
            </x14:iconSet>
          </x14:cfRule>
          <xm:sqref>F17</xm:sqref>
        </x14:conditionalFormatting>
        <x14:conditionalFormatting xmlns:xm="http://schemas.microsoft.com/office/excel/2006/main">
          <x14:cfRule type="iconSet" priority="50" id="{15B636BE-F95B-429C-82EC-39FF032CB302}">
            <x14:iconSet iconSet="3Triangles" reverse="1">
              <x14:cfvo type="percent">
                <xm:f>0</xm:f>
              </x14:cfvo>
              <x14:cfvo type="percent">
                <xm:f>33</xm:f>
              </x14:cfvo>
              <x14:cfvo type="percent">
                <xm:f>67</xm:f>
              </x14:cfvo>
            </x14:iconSet>
          </x14:cfRule>
          <xm:sqref>F19</xm:sqref>
        </x14:conditionalFormatting>
        <x14:conditionalFormatting xmlns:xm="http://schemas.microsoft.com/office/excel/2006/main">
          <x14:cfRule type="iconSet" priority="48" id="{678E06D1-91CC-47A6-BBF4-9F1AF2A73871}">
            <x14:iconSet iconSet="3Triangles" reverse="1">
              <x14:cfvo type="percent">
                <xm:f>0</xm:f>
              </x14:cfvo>
              <x14:cfvo type="percent">
                <xm:f>33</xm:f>
              </x14:cfvo>
              <x14:cfvo type="percent">
                <xm:f>67</xm:f>
              </x14:cfvo>
            </x14:iconSet>
          </x14:cfRule>
          <xm:sqref>F20</xm:sqref>
        </x14:conditionalFormatting>
        <x14:conditionalFormatting xmlns:xm="http://schemas.microsoft.com/office/excel/2006/main">
          <x14:cfRule type="iconSet" priority="46" id="{84DFD208-5058-4961-ABCE-40A897770282}">
            <x14:iconSet iconSet="3Triangles">
              <x14:cfvo type="percent">
                <xm:f>0</xm:f>
              </x14:cfvo>
              <x14:cfvo type="percent">
                <xm:f>33</xm:f>
              </x14:cfvo>
              <x14:cfvo type="percent">
                <xm:f>67</xm:f>
              </x14:cfvo>
            </x14:iconSet>
          </x14:cfRule>
          <xm:sqref>F21</xm:sqref>
        </x14:conditionalFormatting>
        <x14:conditionalFormatting xmlns:xm="http://schemas.microsoft.com/office/excel/2006/main">
          <x14:cfRule type="iconSet" priority="45" id="{3680B5CB-58EB-4302-B720-82C756822398}">
            <x14:iconSet iconSet="3Triangles">
              <x14:cfvo type="percent">
                <xm:f>0</xm:f>
              </x14:cfvo>
              <x14:cfvo type="percent">
                <xm:f>33</xm:f>
              </x14:cfvo>
              <x14:cfvo type="percent">
                <xm:f>67</xm:f>
              </x14:cfvo>
            </x14:iconSet>
          </x14:cfRule>
          <xm:sqref>F22:F23</xm:sqref>
        </x14:conditionalFormatting>
        <x14:conditionalFormatting xmlns:xm="http://schemas.microsoft.com/office/excel/2006/main">
          <x14:cfRule type="iconSet" priority="44" id="{A23812AA-AF3B-4C5B-B0A9-B7CDCDCB8317}">
            <x14:iconSet iconSet="3Triangles">
              <x14:cfvo type="percent">
                <xm:f>0</xm:f>
              </x14:cfvo>
              <x14:cfvo type="percent">
                <xm:f>33</xm:f>
              </x14:cfvo>
              <x14:cfvo type="percent">
                <xm:f>67</xm:f>
              </x14:cfvo>
            </x14:iconSet>
          </x14:cfRule>
          <xm:sqref>F24</xm:sqref>
        </x14:conditionalFormatting>
        <x14:conditionalFormatting xmlns:xm="http://schemas.microsoft.com/office/excel/2006/main">
          <x14:cfRule type="iconSet" priority="43" id="{EBC1EB02-7021-41F6-A11C-97500378F570}">
            <x14:iconSet iconSet="3Triangles">
              <x14:cfvo type="percent">
                <xm:f>0</xm:f>
              </x14:cfvo>
              <x14:cfvo type="percent">
                <xm:f>33</xm:f>
              </x14:cfvo>
              <x14:cfvo type="percent">
                <xm:f>67</xm:f>
              </x14:cfvo>
            </x14:iconSet>
          </x14:cfRule>
          <xm:sqref>F25</xm:sqref>
        </x14:conditionalFormatting>
        <x14:conditionalFormatting xmlns:xm="http://schemas.microsoft.com/office/excel/2006/main">
          <x14:cfRule type="iconSet" priority="42" id="{A7E0C2F0-1705-46DF-BA1E-4AF9CC3630E3}">
            <x14:iconSet iconSet="3Triangles">
              <x14:cfvo type="percent">
                <xm:f>0</xm:f>
              </x14:cfvo>
              <x14:cfvo type="percent">
                <xm:f>33</xm:f>
              </x14:cfvo>
              <x14:cfvo type="percent">
                <xm:f>67</xm:f>
              </x14:cfvo>
            </x14:iconSet>
          </x14:cfRule>
          <xm:sqref>F26</xm:sqref>
        </x14:conditionalFormatting>
        <x14:conditionalFormatting xmlns:xm="http://schemas.microsoft.com/office/excel/2006/main">
          <x14:cfRule type="iconSet" priority="41" id="{D7233BB2-3F59-4DC2-BE56-04B69DC9B3D4}">
            <x14:iconSet iconSet="3Triangles" reverse="1">
              <x14:cfvo type="percent">
                <xm:f>0</xm:f>
              </x14:cfvo>
              <x14:cfvo type="percent">
                <xm:f>33</xm:f>
              </x14:cfvo>
              <x14:cfvo type="percent">
                <xm:f>67</xm:f>
              </x14:cfvo>
            </x14:iconSet>
          </x14:cfRule>
          <xm:sqref>F18</xm:sqref>
        </x14:conditionalFormatting>
        <x14:conditionalFormatting xmlns:xm="http://schemas.microsoft.com/office/excel/2006/main">
          <x14:cfRule type="iconSet" priority="40" id="{DF723912-4E26-4B63-BDF3-D60561324C9F}">
            <x14:iconSet iconSet="3Triangles">
              <x14:cfvo type="percent">
                <xm:f>0</xm:f>
              </x14:cfvo>
              <x14:cfvo type="percent">
                <xm:f>33</xm:f>
              </x14:cfvo>
              <x14:cfvo type="percent">
                <xm:f>67</xm:f>
              </x14:cfvo>
            </x14:iconSet>
          </x14:cfRule>
          <xm:sqref>G9</xm:sqref>
        </x14:conditionalFormatting>
        <x14:conditionalFormatting xmlns:xm="http://schemas.microsoft.com/office/excel/2006/main">
          <x14:cfRule type="iconSet" priority="39" id="{E6BD64EB-4AE2-428E-B0BF-4519E9ABACE4}">
            <x14:iconSet iconSet="3Triangles">
              <x14:cfvo type="percent">
                <xm:f>0</xm:f>
              </x14:cfvo>
              <x14:cfvo type="percent">
                <xm:f>33</xm:f>
              </x14:cfvo>
              <x14:cfvo type="percent">
                <xm:f>67</xm:f>
              </x14:cfvo>
            </x14:iconSet>
          </x14:cfRule>
          <xm:sqref>G10</xm:sqref>
        </x14:conditionalFormatting>
        <x14:conditionalFormatting xmlns:xm="http://schemas.microsoft.com/office/excel/2006/main">
          <x14:cfRule type="iconSet" priority="38" id="{C044591C-86D1-4C87-9DF8-1248D93E67A5}">
            <x14:iconSet iconSet="3Triangles">
              <x14:cfvo type="percent">
                <xm:f>0</xm:f>
              </x14:cfvo>
              <x14:cfvo type="percent">
                <xm:f>33</xm:f>
              </x14:cfvo>
              <x14:cfvo type="percent">
                <xm:f>67</xm:f>
              </x14:cfvo>
            </x14:iconSet>
          </x14:cfRule>
          <xm:sqref>G11</xm:sqref>
        </x14:conditionalFormatting>
        <x14:conditionalFormatting xmlns:xm="http://schemas.microsoft.com/office/excel/2006/main">
          <x14:cfRule type="iconSet" priority="37" id="{72A869AF-F793-48AC-B648-84297665BFF6}">
            <x14:iconSet iconSet="3Triangles">
              <x14:cfvo type="percent">
                <xm:f>0</xm:f>
              </x14:cfvo>
              <x14:cfvo type="percent">
                <xm:f>33</xm:f>
              </x14:cfvo>
              <x14:cfvo type="percent">
                <xm:f>67</xm:f>
              </x14:cfvo>
            </x14:iconSet>
          </x14:cfRule>
          <xm:sqref>G12</xm:sqref>
        </x14:conditionalFormatting>
        <x14:conditionalFormatting xmlns:xm="http://schemas.microsoft.com/office/excel/2006/main">
          <x14:cfRule type="iconSet" priority="36" id="{B6332AFA-5EDE-4401-8233-2196698278DA}">
            <x14:iconSet iconSet="3Triangles">
              <x14:cfvo type="percent">
                <xm:f>0</xm:f>
              </x14:cfvo>
              <x14:cfvo type="percent">
                <xm:f>33</xm:f>
              </x14:cfvo>
              <x14:cfvo type="percent">
                <xm:f>67</xm:f>
              </x14:cfvo>
            </x14:iconSet>
          </x14:cfRule>
          <xm:sqref>G13</xm:sqref>
        </x14:conditionalFormatting>
        <x14:conditionalFormatting xmlns:xm="http://schemas.microsoft.com/office/excel/2006/main">
          <x14:cfRule type="iconSet" priority="35" id="{3EF6BA30-15A6-4290-81A7-BC2E05EC5822}">
            <x14:iconSet iconSet="3Triangles" reverse="1">
              <x14:cfvo type="percent">
                <xm:f>0</xm:f>
              </x14:cfvo>
              <x14:cfvo type="percent">
                <xm:f>33</xm:f>
              </x14:cfvo>
              <x14:cfvo type="percent">
                <xm:f>67</xm:f>
              </x14:cfvo>
            </x14:iconSet>
          </x14:cfRule>
          <xm:sqref>G14</xm:sqref>
        </x14:conditionalFormatting>
        <x14:conditionalFormatting xmlns:xm="http://schemas.microsoft.com/office/excel/2006/main">
          <x14:cfRule type="iconSet" priority="34" id="{941E132E-63E1-4C08-9C18-5E95CBFBD43A}">
            <x14:iconSet iconSet="3Triangles">
              <x14:cfvo type="percent">
                <xm:f>0</xm:f>
              </x14:cfvo>
              <x14:cfvo type="percent">
                <xm:f>33</xm:f>
              </x14:cfvo>
              <x14:cfvo type="percent">
                <xm:f>67</xm:f>
              </x14:cfvo>
            </x14:iconSet>
          </x14:cfRule>
          <xm:sqref>G15</xm:sqref>
        </x14:conditionalFormatting>
        <x14:conditionalFormatting xmlns:xm="http://schemas.microsoft.com/office/excel/2006/main">
          <x14:cfRule type="iconSet" priority="32" id="{4764CA9D-AE1D-4F3F-B5C1-B02F382DFD46}">
            <x14:iconSet iconSet="3Triangles">
              <x14:cfvo type="percent">
                <xm:f>0</xm:f>
              </x14:cfvo>
              <x14:cfvo type="percent">
                <xm:f>33</xm:f>
              </x14:cfvo>
              <x14:cfvo type="percent">
                <xm:f>67</xm:f>
              </x14:cfvo>
            </x14:iconSet>
          </x14:cfRule>
          <xm:sqref>G16</xm:sqref>
        </x14:conditionalFormatting>
        <x14:conditionalFormatting xmlns:xm="http://schemas.microsoft.com/office/excel/2006/main">
          <x14:cfRule type="iconSet" priority="31" id="{F516277C-C5FC-4288-9208-C370F741D1E1}">
            <x14:iconSet iconSet="3Triangles">
              <x14:cfvo type="percent">
                <xm:f>0</xm:f>
              </x14:cfvo>
              <x14:cfvo type="percent">
                <xm:f>33</xm:f>
              </x14:cfvo>
              <x14:cfvo type="percent">
                <xm:f>67</xm:f>
              </x14:cfvo>
            </x14:iconSet>
          </x14:cfRule>
          <xm:sqref>G17</xm:sqref>
        </x14:conditionalFormatting>
        <x14:conditionalFormatting xmlns:xm="http://schemas.microsoft.com/office/excel/2006/main">
          <x14:cfRule type="iconSet" priority="30" id="{26A110A0-8E8E-44C8-8F81-C129E611733D}">
            <x14:iconSet iconSet="3Triangles" reverse="1">
              <x14:cfvo type="percent">
                <xm:f>0</xm:f>
              </x14:cfvo>
              <x14:cfvo type="percent">
                <xm:f>33</xm:f>
              </x14:cfvo>
              <x14:cfvo type="percent">
                <xm:f>67</xm:f>
              </x14:cfvo>
            </x14:iconSet>
          </x14:cfRule>
          <xm:sqref>G19</xm:sqref>
        </x14:conditionalFormatting>
        <x14:conditionalFormatting xmlns:xm="http://schemas.microsoft.com/office/excel/2006/main">
          <x14:cfRule type="iconSet" priority="28" id="{2E42BD24-426E-4EDB-A925-B5434F15941D}">
            <x14:iconSet iconSet="3Triangles" reverse="1">
              <x14:cfvo type="percent">
                <xm:f>0</xm:f>
              </x14:cfvo>
              <x14:cfvo type="percent">
                <xm:f>33</xm:f>
              </x14:cfvo>
              <x14:cfvo type="percent">
                <xm:f>67</xm:f>
              </x14:cfvo>
            </x14:iconSet>
          </x14:cfRule>
          <xm:sqref>G20</xm:sqref>
        </x14:conditionalFormatting>
        <x14:conditionalFormatting xmlns:xm="http://schemas.microsoft.com/office/excel/2006/main">
          <x14:cfRule type="iconSet" priority="26" id="{D4594530-10EA-45AF-BF01-7398D7BBCA12}">
            <x14:iconSet iconSet="3Triangles">
              <x14:cfvo type="percent">
                <xm:f>0</xm:f>
              </x14:cfvo>
              <x14:cfvo type="percent">
                <xm:f>33</xm:f>
              </x14:cfvo>
              <x14:cfvo type="percent">
                <xm:f>67</xm:f>
              </x14:cfvo>
            </x14:iconSet>
          </x14:cfRule>
          <xm:sqref>G21</xm:sqref>
        </x14:conditionalFormatting>
        <x14:conditionalFormatting xmlns:xm="http://schemas.microsoft.com/office/excel/2006/main">
          <x14:cfRule type="iconSet" priority="25" id="{F71E8891-41AD-40DB-ADC7-6C6E17F81AD9}">
            <x14:iconSet iconSet="3Triangles">
              <x14:cfvo type="percent">
                <xm:f>0</xm:f>
              </x14:cfvo>
              <x14:cfvo type="percent">
                <xm:f>33</xm:f>
              </x14:cfvo>
              <x14:cfvo type="percent">
                <xm:f>67</xm:f>
              </x14:cfvo>
            </x14:iconSet>
          </x14:cfRule>
          <xm:sqref>G22:G23</xm:sqref>
        </x14:conditionalFormatting>
        <x14:conditionalFormatting xmlns:xm="http://schemas.microsoft.com/office/excel/2006/main">
          <x14:cfRule type="iconSet" priority="24" id="{A98E01C5-C397-4B72-B838-06EB177B990A}">
            <x14:iconSet iconSet="3Triangles">
              <x14:cfvo type="percent">
                <xm:f>0</xm:f>
              </x14:cfvo>
              <x14:cfvo type="percent">
                <xm:f>33</xm:f>
              </x14:cfvo>
              <x14:cfvo type="percent">
                <xm:f>67</xm:f>
              </x14:cfvo>
            </x14:iconSet>
          </x14:cfRule>
          <xm:sqref>G24</xm:sqref>
        </x14:conditionalFormatting>
        <x14:conditionalFormatting xmlns:xm="http://schemas.microsoft.com/office/excel/2006/main">
          <x14:cfRule type="iconSet" priority="23" id="{80BDED98-13E6-41D1-B053-60F12353AC0D}">
            <x14:iconSet iconSet="3Triangles">
              <x14:cfvo type="percent">
                <xm:f>0</xm:f>
              </x14:cfvo>
              <x14:cfvo type="percent">
                <xm:f>33</xm:f>
              </x14:cfvo>
              <x14:cfvo type="percent">
                <xm:f>67</xm:f>
              </x14:cfvo>
            </x14:iconSet>
          </x14:cfRule>
          <xm:sqref>G25</xm:sqref>
        </x14:conditionalFormatting>
        <x14:conditionalFormatting xmlns:xm="http://schemas.microsoft.com/office/excel/2006/main">
          <x14:cfRule type="iconSet" priority="22" id="{5101BED8-5C8F-4D8D-BFFF-E578039521C3}">
            <x14:iconSet iconSet="3Triangles">
              <x14:cfvo type="percent">
                <xm:f>0</xm:f>
              </x14:cfvo>
              <x14:cfvo type="percent">
                <xm:f>33</xm:f>
              </x14:cfvo>
              <x14:cfvo type="percent">
                <xm:f>67</xm:f>
              </x14:cfvo>
            </x14:iconSet>
          </x14:cfRule>
          <xm:sqref>G26</xm:sqref>
        </x14:conditionalFormatting>
        <x14:conditionalFormatting xmlns:xm="http://schemas.microsoft.com/office/excel/2006/main">
          <x14:cfRule type="iconSet" priority="21" id="{27805CE0-9CA4-469F-9842-9F6FBD5C1E86}">
            <x14:iconSet iconSet="3Triangles" reverse="1">
              <x14:cfvo type="percent">
                <xm:f>0</xm:f>
              </x14:cfvo>
              <x14:cfvo type="percent">
                <xm:f>33</xm:f>
              </x14:cfvo>
              <x14:cfvo type="percent">
                <xm:f>67</xm:f>
              </x14:cfvo>
            </x14:iconSet>
          </x14:cfRule>
          <xm:sqref>G18</xm:sqref>
        </x14:conditionalFormatting>
        <x14:conditionalFormatting xmlns:xm="http://schemas.microsoft.com/office/excel/2006/main">
          <x14:cfRule type="iconSet" priority="18" id="{87FD2F27-9464-4BFA-87DD-CEFE25FAB946}">
            <x14:iconSet iconSet="3Triangles">
              <x14:cfvo type="percent">
                <xm:f>0</xm:f>
              </x14:cfvo>
              <x14:cfvo type="percent">
                <xm:f>33</xm:f>
              </x14:cfvo>
              <x14:cfvo type="percent">
                <xm:f>67</xm:f>
              </x14:cfvo>
            </x14:iconSet>
          </x14:cfRule>
          <xm:sqref>C9:G9</xm:sqref>
        </x14:conditionalFormatting>
        <x14:conditionalFormatting xmlns:xm="http://schemas.microsoft.com/office/excel/2006/main">
          <x14:cfRule type="iconSet" priority="17" id="{935BDB2E-0758-40A0-8DED-3B876046D377}">
            <x14:iconSet iconSet="3Triangles">
              <x14:cfvo type="percent">
                <xm:f>0</xm:f>
              </x14:cfvo>
              <x14:cfvo type="percent">
                <xm:f>33</xm:f>
              </x14:cfvo>
              <x14:cfvo type="percent">
                <xm:f>67</xm:f>
              </x14:cfvo>
            </x14:iconSet>
          </x14:cfRule>
          <xm:sqref>C10:G10</xm:sqref>
        </x14:conditionalFormatting>
        <x14:conditionalFormatting xmlns:xm="http://schemas.microsoft.com/office/excel/2006/main">
          <x14:cfRule type="iconSet" priority="16" id="{8D2A70F0-85E9-4673-8C8E-4C1CC39CBD84}">
            <x14:iconSet iconSet="3Triangles">
              <x14:cfvo type="percent">
                <xm:f>0</xm:f>
              </x14:cfvo>
              <x14:cfvo type="percent">
                <xm:f>33</xm:f>
              </x14:cfvo>
              <x14:cfvo type="percent">
                <xm:f>67</xm:f>
              </x14:cfvo>
            </x14:iconSet>
          </x14:cfRule>
          <xm:sqref>C11:G11</xm:sqref>
        </x14:conditionalFormatting>
        <x14:conditionalFormatting xmlns:xm="http://schemas.microsoft.com/office/excel/2006/main">
          <x14:cfRule type="iconSet" priority="15" id="{C35B3D63-A855-453B-A6CD-EF1C51581CFF}">
            <x14:iconSet iconSet="3Triangles">
              <x14:cfvo type="percent">
                <xm:f>0</xm:f>
              </x14:cfvo>
              <x14:cfvo type="percent">
                <xm:f>33</xm:f>
              </x14:cfvo>
              <x14:cfvo type="percent">
                <xm:f>67</xm:f>
              </x14:cfvo>
            </x14:iconSet>
          </x14:cfRule>
          <xm:sqref>C12:G12</xm:sqref>
        </x14:conditionalFormatting>
        <x14:conditionalFormatting xmlns:xm="http://schemas.microsoft.com/office/excel/2006/main">
          <x14:cfRule type="iconSet" priority="14" id="{3F5CE0C5-D0A4-4133-8FC7-E6940FCB57C8}">
            <x14:iconSet iconSet="3Triangles">
              <x14:cfvo type="percent">
                <xm:f>0</xm:f>
              </x14:cfvo>
              <x14:cfvo type="percent">
                <xm:f>33</xm:f>
              </x14:cfvo>
              <x14:cfvo type="percent">
                <xm:f>67</xm:f>
              </x14:cfvo>
            </x14:iconSet>
          </x14:cfRule>
          <xm:sqref>C13:G13</xm:sqref>
        </x14:conditionalFormatting>
        <x14:conditionalFormatting xmlns:xm="http://schemas.microsoft.com/office/excel/2006/main">
          <x14:cfRule type="iconSet" priority="13" id="{3D3F4A6E-F153-4697-A58C-0456E4CC7EE1}">
            <x14:iconSet iconSet="3Triangles">
              <x14:cfvo type="percent">
                <xm:f>0</xm:f>
              </x14:cfvo>
              <x14:cfvo type="percent">
                <xm:f>33</xm:f>
              </x14:cfvo>
              <x14:cfvo type="percent">
                <xm:f>67</xm:f>
              </x14:cfvo>
            </x14:iconSet>
          </x14:cfRule>
          <xm:sqref>C14:G14</xm:sqref>
        </x14:conditionalFormatting>
        <x14:conditionalFormatting xmlns:xm="http://schemas.microsoft.com/office/excel/2006/main">
          <x14:cfRule type="iconSet" priority="12" id="{C3841A52-1A6C-4AFC-B64A-4EFD7D7FBA12}">
            <x14:iconSet iconSet="3Triangles">
              <x14:cfvo type="percent">
                <xm:f>0</xm:f>
              </x14:cfvo>
              <x14:cfvo type="percent">
                <xm:f>33</xm:f>
              </x14:cfvo>
              <x14:cfvo type="percent">
                <xm:f>67</xm:f>
              </x14:cfvo>
            </x14:iconSet>
          </x14:cfRule>
          <xm:sqref>C15:G15</xm:sqref>
        </x14:conditionalFormatting>
        <x14:conditionalFormatting xmlns:xm="http://schemas.microsoft.com/office/excel/2006/main">
          <x14:cfRule type="iconSet" priority="11" id="{672C1A86-4DE2-4BB6-97ED-99E597AAAD28}">
            <x14:iconSet iconSet="3Triangles">
              <x14:cfvo type="percent">
                <xm:f>0</xm:f>
              </x14:cfvo>
              <x14:cfvo type="percent">
                <xm:f>33</xm:f>
              </x14:cfvo>
              <x14:cfvo type="percent">
                <xm:f>67</xm:f>
              </x14:cfvo>
            </x14:iconSet>
          </x14:cfRule>
          <xm:sqref>C16:G16</xm:sqref>
        </x14:conditionalFormatting>
        <x14:conditionalFormatting xmlns:xm="http://schemas.microsoft.com/office/excel/2006/main">
          <x14:cfRule type="iconSet" priority="10" id="{650210D6-06AE-4D6E-BE01-1A4E64D3FB5B}">
            <x14:iconSet iconSet="3Triangles">
              <x14:cfvo type="percent">
                <xm:f>0</xm:f>
              </x14:cfvo>
              <x14:cfvo type="percent">
                <xm:f>33</xm:f>
              </x14:cfvo>
              <x14:cfvo type="percent">
                <xm:f>67</xm:f>
              </x14:cfvo>
            </x14:iconSet>
          </x14:cfRule>
          <xm:sqref>C17:G17</xm:sqref>
        </x14:conditionalFormatting>
        <x14:conditionalFormatting xmlns:xm="http://schemas.microsoft.com/office/excel/2006/main">
          <x14:cfRule type="iconSet" priority="9" id="{31078984-5127-4A92-B42B-C32013B66524}">
            <x14:iconSet iconSet="3Triangles">
              <x14:cfvo type="percent">
                <xm:f>0</xm:f>
              </x14:cfvo>
              <x14:cfvo type="percent">
                <xm:f>33</xm:f>
              </x14:cfvo>
              <x14:cfvo type="percent">
                <xm:f>67</xm:f>
              </x14:cfvo>
            </x14:iconSet>
          </x14:cfRule>
          <xm:sqref>C18:G18</xm:sqref>
        </x14:conditionalFormatting>
        <x14:conditionalFormatting xmlns:xm="http://schemas.microsoft.com/office/excel/2006/main">
          <x14:cfRule type="iconSet" priority="8" id="{06167982-A8F6-493A-AEA0-BC84DC0F98E7}">
            <x14:iconSet iconSet="3Triangles">
              <x14:cfvo type="percent">
                <xm:f>0</xm:f>
              </x14:cfvo>
              <x14:cfvo type="percent">
                <xm:f>33</xm:f>
              </x14:cfvo>
              <x14:cfvo type="percent">
                <xm:f>67</xm:f>
              </x14:cfvo>
            </x14:iconSet>
          </x14:cfRule>
          <xm:sqref>C19:G19</xm:sqref>
        </x14:conditionalFormatting>
        <x14:conditionalFormatting xmlns:xm="http://schemas.microsoft.com/office/excel/2006/main">
          <x14:cfRule type="iconSet" priority="1" id="{6B1699B9-3767-44C4-B179-1FB58F2B2A4D}">
            <x14:iconSet iconSet="3Triangles">
              <x14:cfvo type="percent">
                <xm:f>0</xm:f>
              </x14:cfvo>
              <x14:cfvo type="percent">
                <xm:f>33</xm:f>
              </x14:cfvo>
              <x14:cfvo type="percent">
                <xm:f>67</xm:f>
              </x14:cfvo>
            </x14:iconSet>
          </x14:cfRule>
          <xm:sqref>C20:G20</xm:sqref>
        </x14:conditionalFormatting>
        <x14:conditionalFormatting xmlns:xm="http://schemas.microsoft.com/office/excel/2006/main">
          <x14:cfRule type="iconSet" priority="6" id="{0FA18D43-C2F9-4A07-9FA6-4C4FD75A1559}">
            <x14:iconSet iconSet="3Triangles">
              <x14:cfvo type="percent">
                <xm:f>0</xm:f>
              </x14:cfvo>
              <x14:cfvo type="percent">
                <xm:f>33</xm:f>
              </x14:cfvo>
              <x14:cfvo type="percent">
                <xm:f>67</xm:f>
              </x14:cfvo>
            </x14:iconSet>
          </x14:cfRule>
          <xm:sqref>C21:G21</xm:sqref>
        </x14:conditionalFormatting>
        <x14:conditionalFormatting xmlns:xm="http://schemas.microsoft.com/office/excel/2006/main">
          <x14:cfRule type="iconSet" priority="5" id="{1D526DFE-CA33-4195-A0FB-702512551A48}">
            <x14:iconSet iconSet="3Triangles">
              <x14:cfvo type="percent">
                <xm:f>0</xm:f>
              </x14:cfvo>
              <x14:cfvo type="percent">
                <xm:f>33</xm:f>
              </x14:cfvo>
              <x14:cfvo type="percent">
                <xm:f>67</xm:f>
              </x14:cfvo>
            </x14:iconSet>
          </x14:cfRule>
          <xm:sqref>C22:G22</xm:sqref>
        </x14:conditionalFormatting>
        <x14:conditionalFormatting xmlns:xm="http://schemas.microsoft.com/office/excel/2006/main">
          <x14:cfRule type="iconSet" priority="4" id="{AC92817A-0F13-4B2A-B145-CC74FFCACC9A}">
            <x14:iconSet iconSet="3Triangles">
              <x14:cfvo type="percent">
                <xm:f>0</xm:f>
              </x14:cfvo>
              <x14:cfvo type="percent">
                <xm:f>33</xm:f>
              </x14:cfvo>
              <x14:cfvo type="percent">
                <xm:f>67</xm:f>
              </x14:cfvo>
            </x14:iconSet>
          </x14:cfRule>
          <xm:sqref>C23:G23</xm:sqref>
        </x14:conditionalFormatting>
        <x14:conditionalFormatting xmlns:xm="http://schemas.microsoft.com/office/excel/2006/main">
          <x14:cfRule type="iconSet" priority="3" id="{2A6C6B17-4FAE-4F94-8CB7-C35CBFE861C8}">
            <x14:iconSet iconSet="3Triangles">
              <x14:cfvo type="percent">
                <xm:f>0</xm:f>
              </x14:cfvo>
              <x14:cfvo type="percent">
                <xm:f>33</xm:f>
              </x14:cfvo>
              <x14:cfvo type="percent">
                <xm:f>67</xm:f>
              </x14:cfvo>
            </x14:iconSet>
          </x14:cfRule>
          <xm:sqref>C24:G24</xm:sqref>
        </x14:conditionalFormatting>
        <x14:conditionalFormatting xmlns:xm="http://schemas.microsoft.com/office/excel/2006/main">
          <x14:cfRule type="iconSet" priority="2" id="{16F9321B-E5AB-4B6B-B5BE-30D020CC60B9}">
            <x14:iconSet iconSet="3Triangles">
              <x14:cfvo type="percent">
                <xm:f>0</xm:f>
              </x14:cfvo>
              <x14:cfvo type="percent">
                <xm:f>33</xm:f>
              </x14:cfvo>
              <x14:cfvo type="percent">
                <xm:f>67</xm:f>
              </x14:cfvo>
            </x14:iconSet>
          </x14:cfRule>
          <xm:sqref>C25:G25</xm:sqref>
        </x14:conditionalFormatting>
      </x14:conditionalFormattings>
    </ext>
    <ext xmlns:x14="http://schemas.microsoft.com/office/spreadsheetml/2009/9/main" uri="{05C60535-1F16-4fd2-B633-F4F36F0B64E0}">
      <x14:sparklineGroups xmlns:xm="http://schemas.microsoft.com/office/excel/2006/main">
        <x14:sparklineGroup displayEmptyCellsAs="gap" xr2:uid="{B2AF70D9-6DA5-4EF3-AA4D-ED45FB4FE0F3}">
          <x14:colorSeries rgb="FF376092"/>
          <x14:colorNegative rgb="FFD00000"/>
          <x14:colorAxis rgb="FF000000"/>
          <x14:colorMarkers rgb="FFD00000"/>
          <x14:colorFirst rgb="FFD00000"/>
          <x14:colorLast rgb="FFD00000"/>
          <x14:colorHigh rgb="FFD00000"/>
          <x14:colorLow rgb="FFD00000"/>
          <x14:sparklines>
            <x14:sparkline>
              <xm:f>Consulta_Estado!C9:G9</xm:f>
              <xm:sqref>J9</xm:sqref>
            </x14:sparkline>
            <x14:sparkline>
              <xm:f>Consulta_Estado!C10:G10</xm:f>
              <xm:sqref>J10</xm:sqref>
            </x14:sparkline>
            <x14:sparkline>
              <xm:f>Consulta_Estado!C11:G11</xm:f>
              <xm:sqref>J11</xm:sqref>
            </x14:sparkline>
            <x14:sparkline>
              <xm:f>Consulta_Estado!C12:G12</xm:f>
              <xm:sqref>J12</xm:sqref>
            </x14:sparkline>
            <x14:sparkline>
              <xm:f>Consulta_Estado!C13:G13</xm:f>
              <xm:sqref>J13</xm:sqref>
            </x14:sparkline>
            <x14:sparkline>
              <xm:f>Consulta_Estado!C14:G14</xm:f>
              <xm:sqref>J14</xm:sqref>
            </x14:sparkline>
            <x14:sparkline>
              <xm:f>Consulta_Estado!C15:G15</xm:f>
              <xm:sqref>J15</xm:sqref>
            </x14:sparkline>
            <x14:sparkline>
              <xm:f>Consulta_Estado!C16:G16</xm:f>
              <xm:sqref>J16</xm:sqref>
            </x14:sparkline>
            <x14:sparkline>
              <xm:f>Consulta_Estado!C17:G17</xm:f>
              <xm:sqref>J17</xm:sqref>
            </x14:sparkline>
            <x14:sparkline>
              <xm:f>Consulta_Estado!C18:G18</xm:f>
              <xm:sqref>J18</xm:sqref>
            </x14:sparkline>
            <x14:sparkline>
              <xm:f>Consulta_Estado!C19:G19</xm:f>
              <xm:sqref>J19</xm:sqref>
            </x14:sparkline>
            <x14:sparkline>
              <xm:f>Consulta_Estado!C20:G20</xm:f>
              <xm:sqref>J20</xm:sqref>
            </x14:sparkline>
            <x14:sparkline>
              <xm:f>Consulta_Estado!C21:G21</xm:f>
              <xm:sqref>J21</xm:sqref>
            </x14:sparkline>
            <x14:sparkline>
              <xm:f>Consulta_Estado!C22:G22</xm:f>
              <xm:sqref>J22</xm:sqref>
            </x14:sparkline>
            <x14:sparkline>
              <xm:f>Consulta_Estado!C23:G23</xm:f>
              <xm:sqref>J23</xm:sqref>
            </x14:sparkline>
            <x14:sparkline>
              <xm:f>Consulta_Estado!C24:G24</xm:f>
              <xm:sqref>J24</xm:sqref>
            </x14:sparkline>
            <x14:sparkline>
              <xm:f>Consulta_Estado!C25:G25</xm:f>
              <xm:sqref>J25</xm:sqref>
            </x14:sparkline>
            <x14:sparkline>
              <xm:f>Consulta_Estado!C26:G26</xm:f>
              <xm:sqref>J26</xm:sqref>
            </x14:sparkline>
          </x14:sparklines>
        </x14:sparklineGroup>
      </x14:sparklineGroups>
    </ext>
    <ext xmlns:x14="http://schemas.microsoft.com/office/spreadsheetml/2009/9/main" uri="{A8765BA9-456A-4dab-B4F3-ACF838C121DE}">
      <x14:slicerList>
        <x14:slicer r:id="rId4"/>
      </x14:slicerList>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B375"/>
  <sheetViews>
    <sheetView zoomScale="109" zoomScaleNormal="109" workbookViewId="0">
      <pane xSplit="6" ySplit="1" topLeftCell="K2" activePane="bottomRight" state="frozen"/>
      <selection activeCell="A38" sqref="A38:G38"/>
      <selection pane="topRight" activeCell="A38" sqref="A38:G38"/>
      <selection pane="bottomLeft" activeCell="A38" sqref="A38:G38"/>
      <selection pane="bottomRight" activeCell="A38" sqref="A38:G38"/>
    </sheetView>
  </sheetViews>
  <sheetFormatPr baseColWidth="10" defaultColWidth="11.42578125" defaultRowHeight="12.75"/>
  <cols>
    <col min="1" max="1" width="6.85546875" style="8" bestFit="1" customWidth="1"/>
    <col min="2" max="2" width="4.85546875" style="9" bestFit="1" customWidth="1"/>
    <col min="3" max="3" width="8.5703125" style="8" bestFit="1" customWidth="1"/>
    <col min="4" max="4" width="21" style="8" customWidth="1"/>
    <col min="5" max="5" width="10.140625" style="8" customWidth="1"/>
    <col min="6" max="6" width="7.85546875" style="8" customWidth="1"/>
    <col min="7" max="7" width="10.5703125" style="10" customWidth="1"/>
    <col min="8" max="8" width="10.7109375" style="10" customWidth="1"/>
    <col min="9" max="9" width="11.42578125" style="10" customWidth="1"/>
    <col min="10" max="10" width="10" style="10" customWidth="1"/>
    <col min="11" max="11" width="8" style="10" customWidth="1"/>
    <col min="12" max="12" width="9" style="10" customWidth="1"/>
    <col min="13" max="13" width="12.7109375" style="10" customWidth="1"/>
    <col min="14" max="14" width="10.140625" style="10" customWidth="1"/>
    <col min="15" max="15" width="10" style="10" customWidth="1"/>
    <col min="16" max="16" width="11.42578125" style="10" customWidth="1"/>
    <col min="17" max="17" width="12.7109375" style="10" customWidth="1"/>
    <col min="18" max="18" width="10.140625" style="10" customWidth="1"/>
    <col min="19" max="19" width="12.7109375" style="10" customWidth="1"/>
    <col min="20" max="24" width="12.5703125" style="10" customWidth="1"/>
    <col min="25" max="25" width="10.5703125" style="10" customWidth="1"/>
    <col min="26" max="36" width="12.5703125" style="10" customWidth="1"/>
    <col min="37" max="37" width="14.140625" style="10" bestFit="1" customWidth="1"/>
    <col min="38" max="51" width="12.5703125" style="10" customWidth="1"/>
    <col min="52" max="16384" width="11.42578125" style="8"/>
  </cols>
  <sheetData>
    <row r="1" spans="1:54" ht="25.5">
      <c r="A1" s="281" t="s">
        <v>95</v>
      </c>
      <c r="B1" s="281" t="s">
        <v>51</v>
      </c>
      <c r="C1" s="281" t="s">
        <v>52</v>
      </c>
      <c r="D1" s="281" t="s">
        <v>94</v>
      </c>
      <c r="E1" s="281" t="s">
        <v>86</v>
      </c>
      <c r="F1" s="281" t="s">
        <v>45</v>
      </c>
      <c r="G1" s="282" t="s">
        <v>104</v>
      </c>
      <c r="H1" s="282" t="s">
        <v>103</v>
      </c>
      <c r="I1" s="282" t="s">
        <v>105</v>
      </c>
      <c r="J1" s="282" t="s">
        <v>93</v>
      </c>
      <c r="K1" s="282" t="s">
        <v>106</v>
      </c>
      <c r="L1" s="282" t="s">
        <v>101</v>
      </c>
      <c r="M1" s="282" t="s">
        <v>102</v>
      </c>
      <c r="N1" s="282" t="s">
        <v>110</v>
      </c>
      <c r="O1" s="282" t="s">
        <v>111</v>
      </c>
      <c r="P1" s="282" t="s">
        <v>107</v>
      </c>
      <c r="Q1" s="282" t="s">
        <v>108</v>
      </c>
      <c r="R1" s="282" t="s">
        <v>109</v>
      </c>
      <c r="S1" s="282" t="s">
        <v>112</v>
      </c>
      <c r="T1" s="282" t="s">
        <v>318</v>
      </c>
      <c r="U1" s="282" t="s">
        <v>170</v>
      </c>
      <c r="V1" s="282" t="s">
        <v>171</v>
      </c>
      <c r="W1" s="282" t="s">
        <v>114</v>
      </c>
      <c r="X1" s="282" t="s">
        <v>113</v>
      </c>
      <c r="Y1" s="282" t="s">
        <v>116</v>
      </c>
      <c r="Z1" s="282" t="s">
        <v>115</v>
      </c>
      <c r="AA1" s="282" t="s">
        <v>117</v>
      </c>
      <c r="AB1" s="282" t="s">
        <v>118</v>
      </c>
      <c r="AC1" s="282" t="s">
        <v>119</v>
      </c>
      <c r="AD1" s="282" t="s">
        <v>120</v>
      </c>
      <c r="AE1" s="282" t="s">
        <v>339</v>
      </c>
      <c r="AF1" s="282" t="s">
        <v>340</v>
      </c>
      <c r="AG1" s="282" t="s">
        <v>315</v>
      </c>
      <c r="AH1" s="282" t="s">
        <v>121</v>
      </c>
      <c r="AI1" s="282" t="s">
        <v>122</v>
      </c>
      <c r="AJ1" s="282" t="s">
        <v>126</v>
      </c>
      <c r="AK1" s="282" t="s">
        <v>127</v>
      </c>
      <c r="AL1" s="282" t="s">
        <v>128</v>
      </c>
      <c r="AM1" s="282" t="s">
        <v>129</v>
      </c>
      <c r="AN1" s="282" t="s">
        <v>130</v>
      </c>
      <c r="AO1" s="282" t="s">
        <v>131</v>
      </c>
      <c r="AP1" s="282" t="s">
        <v>137</v>
      </c>
      <c r="AQ1" s="282" t="s">
        <v>132</v>
      </c>
      <c r="AR1" s="282" t="s">
        <v>138</v>
      </c>
      <c r="AS1" s="282" t="s">
        <v>133</v>
      </c>
      <c r="AT1" s="282" t="s">
        <v>134</v>
      </c>
      <c r="AU1" s="282" t="s">
        <v>139</v>
      </c>
      <c r="AV1" s="282" t="s">
        <v>140</v>
      </c>
      <c r="AW1" s="282" t="s">
        <v>135</v>
      </c>
      <c r="AX1" s="282" t="s">
        <v>141</v>
      </c>
      <c r="AY1" s="282" t="s">
        <v>136</v>
      </c>
      <c r="AZ1" s="266"/>
      <c r="BA1" s="266"/>
      <c r="BB1" s="266"/>
    </row>
    <row r="2" spans="1:54">
      <c r="A2" s="298" t="s">
        <v>49</v>
      </c>
      <c r="B2" s="299">
        <v>1</v>
      </c>
      <c r="C2" s="298" t="s">
        <v>54</v>
      </c>
      <c r="D2" s="298" t="s">
        <v>1</v>
      </c>
      <c r="E2" s="299" t="s">
        <v>324</v>
      </c>
      <c r="F2" s="298">
        <v>2022</v>
      </c>
      <c r="G2" s="300">
        <v>4434</v>
      </c>
      <c r="H2" s="300">
        <v>1697</v>
      </c>
      <c r="I2" s="300">
        <v>2737</v>
      </c>
      <c r="J2" s="300">
        <v>23894</v>
      </c>
      <c r="K2" s="279">
        <v>83</v>
      </c>
      <c r="L2" s="279">
        <v>19</v>
      </c>
      <c r="M2" s="279">
        <v>22</v>
      </c>
      <c r="N2" s="300">
        <v>4097</v>
      </c>
      <c r="O2" s="300">
        <v>80762</v>
      </c>
      <c r="P2" s="300">
        <v>2991</v>
      </c>
      <c r="Q2" s="300">
        <v>4237</v>
      </c>
      <c r="R2" s="300">
        <v>1017</v>
      </c>
      <c r="S2" s="300">
        <v>646</v>
      </c>
      <c r="T2" s="300">
        <v>3919</v>
      </c>
      <c r="U2" s="300">
        <v>1624</v>
      </c>
      <c r="V2" s="300">
        <v>908</v>
      </c>
      <c r="W2" s="300">
        <v>1037</v>
      </c>
      <c r="X2" s="300">
        <v>993</v>
      </c>
      <c r="Y2" s="300">
        <v>4434</v>
      </c>
      <c r="Z2" s="300">
        <v>82143029.864428163</v>
      </c>
      <c r="AA2" s="300">
        <v>268</v>
      </c>
      <c r="AB2" s="279">
        <v>429</v>
      </c>
      <c r="AC2" s="300">
        <v>2800</v>
      </c>
      <c r="AD2" s="300">
        <v>181</v>
      </c>
      <c r="AE2" s="300">
        <v>45</v>
      </c>
      <c r="AF2" s="300">
        <v>74</v>
      </c>
      <c r="AG2" s="300">
        <v>3415</v>
      </c>
      <c r="AH2" s="300">
        <v>2391</v>
      </c>
      <c r="AI2" s="300"/>
      <c r="AJ2" s="300"/>
      <c r="AK2" s="300"/>
      <c r="AL2" s="300"/>
      <c r="AM2" s="300"/>
      <c r="AN2" s="300"/>
      <c r="AO2" s="300"/>
      <c r="AP2" s="300"/>
      <c r="AQ2" s="300"/>
      <c r="AR2" s="300"/>
      <c r="AS2" s="300"/>
      <c r="AT2" s="300"/>
      <c r="AU2" s="300"/>
      <c r="AV2" s="300"/>
      <c r="AW2" s="300"/>
      <c r="AX2" s="300"/>
      <c r="AY2" s="300"/>
      <c r="AZ2" s="266"/>
      <c r="BA2" s="266"/>
      <c r="BB2" s="266"/>
    </row>
    <row r="3" spans="1:54">
      <c r="A3" s="298" t="s">
        <v>49</v>
      </c>
      <c r="B3" s="299">
        <v>2</v>
      </c>
      <c r="C3" s="298" t="s">
        <v>55</v>
      </c>
      <c r="D3" s="298" t="s">
        <v>3</v>
      </c>
      <c r="E3" s="299" t="s">
        <v>324</v>
      </c>
      <c r="F3" s="298">
        <v>2022</v>
      </c>
      <c r="G3" s="300">
        <v>9226</v>
      </c>
      <c r="H3" s="300">
        <v>3945</v>
      </c>
      <c r="I3" s="300">
        <v>5281</v>
      </c>
      <c r="J3" s="300">
        <v>59849</v>
      </c>
      <c r="K3" s="279">
        <v>125</v>
      </c>
      <c r="L3" s="279">
        <v>32</v>
      </c>
      <c r="M3" s="279">
        <v>24</v>
      </c>
      <c r="N3" s="300">
        <v>8222</v>
      </c>
      <c r="O3" s="300">
        <v>187217</v>
      </c>
      <c r="P3" s="300">
        <v>4385</v>
      </c>
      <c r="Q3" s="300">
        <v>8841</v>
      </c>
      <c r="R3" s="300">
        <v>1922</v>
      </c>
      <c r="S3" s="300">
        <v>2154</v>
      </c>
      <c r="T3" s="300">
        <v>8272</v>
      </c>
      <c r="U3" s="300">
        <v>3476</v>
      </c>
      <c r="V3" s="300">
        <v>1802</v>
      </c>
      <c r="W3" s="300">
        <v>1597</v>
      </c>
      <c r="X3" s="300">
        <v>1497</v>
      </c>
      <c r="Y3" s="300">
        <v>9226</v>
      </c>
      <c r="Z3" s="300">
        <v>164707369.69522417</v>
      </c>
      <c r="AA3" s="300">
        <v>399</v>
      </c>
      <c r="AB3" s="279">
        <v>749</v>
      </c>
      <c r="AC3" s="300">
        <v>4491</v>
      </c>
      <c r="AD3" s="300">
        <v>59</v>
      </c>
      <c r="AE3" s="300">
        <v>78</v>
      </c>
      <c r="AF3" s="300">
        <v>161</v>
      </c>
      <c r="AG3" s="300">
        <v>1833</v>
      </c>
      <c r="AH3" s="300">
        <v>1678</v>
      </c>
      <c r="AI3" s="300">
        <v>198</v>
      </c>
      <c r="AJ3" s="300"/>
      <c r="AK3" s="300"/>
      <c r="AL3" s="300"/>
      <c r="AM3" s="300"/>
      <c r="AN3" s="300"/>
      <c r="AO3" s="300"/>
      <c r="AP3" s="300"/>
      <c r="AQ3" s="300"/>
      <c r="AR3" s="300"/>
      <c r="AS3" s="300"/>
      <c r="AT3" s="300"/>
      <c r="AU3" s="300"/>
      <c r="AV3" s="300"/>
      <c r="AW3" s="300"/>
      <c r="AX3" s="300"/>
      <c r="AY3" s="300"/>
      <c r="AZ3" s="266"/>
      <c r="BA3" s="266"/>
      <c r="BB3" s="266"/>
    </row>
    <row r="4" spans="1:54">
      <c r="A4" s="298" t="s">
        <v>49</v>
      </c>
      <c r="B4" s="299">
        <v>3</v>
      </c>
      <c r="C4" s="298" t="s">
        <v>56</v>
      </c>
      <c r="D4" s="298" t="s">
        <v>4</v>
      </c>
      <c r="E4" s="299" t="s">
        <v>324</v>
      </c>
      <c r="F4" s="298">
        <v>2022</v>
      </c>
      <c r="G4" s="300">
        <v>1676</v>
      </c>
      <c r="H4" s="300">
        <v>715</v>
      </c>
      <c r="I4" s="300">
        <v>961</v>
      </c>
      <c r="J4" s="300">
        <v>12983</v>
      </c>
      <c r="K4" s="279">
        <v>33</v>
      </c>
      <c r="L4" s="279">
        <v>8</v>
      </c>
      <c r="M4" s="279">
        <v>3</v>
      </c>
      <c r="N4" s="300">
        <v>1427</v>
      </c>
      <c r="O4" s="300">
        <v>40787</v>
      </c>
      <c r="P4" s="300">
        <v>1058</v>
      </c>
      <c r="Q4" s="300">
        <v>1531</v>
      </c>
      <c r="R4" s="300">
        <v>346</v>
      </c>
      <c r="S4" s="300">
        <v>182</v>
      </c>
      <c r="T4" s="300">
        <v>1335</v>
      </c>
      <c r="U4" s="300">
        <v>602</v>
      </c>
      <c r="V4" s="300">
        <v>313</v>
      </c>
      <c r="W4" s="300">
        <v>368</v>
      </c>
      <c r="X4" s="300">
        <v>361</v>
      </c>
      <c r="Y4" s="300">
        <v>1676</v>
      </c>
      <c r="Z4" s="300">
        <v>40780472.799643666</v>
      </c>
      <c r="AA4" s="300">
        <v>77</v>
      </c>
      <c r="AB4" s="279">
        <v>217</v>
      </c>
      <c r="AC4" s="300">
        <v>640</v>
      </c>
      <c r="AD4" s="300">
        <v>25</v>
      </c>
      <c r="AE4" s="300">
        <v>0</v>
      </c>
      <c r="AF4" s="300">
        <v>1</v>
      </c>
      <c r="AG4" s="300">
        <v>0</v>
      </c>
      <c r="AH4" s="300">
        <v>0</v>
      </c>
      <c r="AI4" s="300"/>
      <c r="AJ4" s="300"/>
      <c r="AK4" s="300"/>
      <c r="AL4" s="300"/>
      <c r="AM4" s="300"/>
      <c r="AN4" s="300"/>
      <c r="AO4" s="300"/>
      <c r="AP4" s="300"/>
      <c r="AQ4" s="300"/>
      <c r="AR4" s="300"/>
      <c r="AS4" s="300"/>
      <c r="AT4" s="300"/>
      <c r="AU4" s="300"/>
      <c r="AV4" s="300"/>
      <c r="AW4" s="300"/>
      <c r="AX4" s="300"/>
      <c r="AY4" s="300"/>
      <c r="AZ4" s="266"/>
      <c r="BA4" s="266"/>
      <c r="BB4" s="266"/>
    </row>
    <row r="5" spans="1:54">
      <c r="A5" s="298" t="s">
        <v>49</v>
      </c>
      <c r="B5" s="299">
        <v>4</v>
      </c>
      <c r="C5" s="298" t="s">
        <v>57</v>
      </c>
      <c r="D5" s="298" t="s">
        <v>5</v>
      </c>
      <c r="E5" s="299" t="s">
        <v>324</v>
      </c>
      <c r="F5" s="298">
        <v>2022</v>
      </c>
      <c r="G5" s="300">
        <v>2131</v>
      </c>
      <c r="H5" s="300">
        <v>861</v>
      </c>
      <c r="I5" s="300">
        <v>1270</v>
      </c>
      <c r="J5" s="300">
        <v>13930</v>
      </c>
      <c r="K5" s="279">
        <v>39</v>
      </c>
      <c r="L5" s="279">
        <v>9</v>
      </c>
      <c r="M5" s="279">
        <v>13</v>
      </c>
      <c r="N5" s="300">
        <v>1774</v>
      </c>
      <c r="O5" s="300">
        <v>51602</v>
      </c>
      <c r="P5" s="300">
        <v>975</v>
      </c>
      <c r="Q5" s="300">
        <v>1937</v>
      </c>
      <c r="R5" s="300">
        <v>418</v>
      </c>
      <c r="S5" s="300">
        <v>257</v>
      </c>
      <c r="T5" s="300">
        <v>1656</v>
      </c>
      <c r="U5" s="300">
        <v>758</v>
      </c>
      <c r="V5" s="300">
        <v>370</v>
      </c>
      <c r="W5" s="300">
        <v>423</v>
      </c>
      <c r="X5" s="300">
        <v>368</v>
      </c>
      <c r="Y5" s="300">
        <v>2131</v>
      </c>
      <c r="Z5" s="300">
        <v>50105240.945243418</v>
      </c>
      <c r="AA5" s="300">
        <v>119</v>
      </c>
      <c r="AB5" s="279">
        <v>331</v>
      </c>
      <c r="AC5" s="300">
        <v>1533</v>
      </c>
      <c r="AD5" s="300">
        <v>59</v>
      </c>
      <c r="AE5" s="300">
        <v>30</v>
      </c>
      <c r="AF5" s="300">
        <v>31</v>
      </c>
      <c r="AG5" s="300">
        <v>300</v>
      </c>
      <c r="AH5" s="300">
        <v>259</v>
      </c>
      <c r="AI5" s="300"/>
      <c r="AJ5" s="300"/>
      <c r="AK5" s="300"/>
      <c r="AL5" s="300"/>
      <c r="AM5" s="300"/>
      <c r="AN5" s="300"/>
      <c r="AO5" s="300"/>
      <c r="AP5" s="300"/>
      <c r="AQ5" s="300"/>
      <c r="AR5" s="300"/>
      <c r="AS5" s="300"/>
      <c r="AT5" s="300"/>
      <c r="AU5" s="300"/>
      <c r="AV5" s="300"/>
      <c r="AW5" s="300"/>
      <c r="AX5" s="300"/>
      <c r="AY5" s="300"/>
      <c r="AZ5" s="266"/>
      <c r="BA5" s="266"/>
      <c r="BB5" s="266"/>
    </row>
    <row r="6" spans="1:54">
      <c r="A6" s="298" t="s">
        <v>49</v>
      </c>
      <c r="B6" s="299">
        <v>7</v>
      </c>
      <c r="C6" s="298" t="s">
        <v>58</v>
      </c>
      <c r="D6" s="298" t="s">
        <v>6</v>
      </c>
      <c r="E6" s="299" t="s">
        <v>324</v>
      </c>
      <c r="F6" s="298">
        <v>2022</v>
      </c>
      <c r="G6" s="300">
        <v>8653</v>
      </c>
      <c r="H6" s="300">
        <v>3390</v>
      </c>
      <c r="I6" s="300">
        <v>5263</v>
      </c>
      <c r="J6" s="300">
        <v>94001</v>
      </c>
      <c r="K6" s="279">
        <v>160</v>
      </c>
      <c r="L6" s="279">
        <v>17</v>
      </c>
      <c r="M6" s="279">
        <v>51</v>
      </c>
      <c r="N6" s="300">
        <v>6118</v>
      </c>
      <c r="O6" s="300">
        <v>340519</v>
      </c>
      <c r="P6" s="300">
        <v>4174</v>
      </c>
      <c r="Q6" s="300">
        <v>8499</v>
      </c>
      <c r="R6" s="300">
        <v>1714</v>
      </c>
      <c r="S6" s="300">
        <v>1017</v>
      </c>
      <c r="T6" s="300">
        <v>7471</v>
      </c>
      <c r="U6" s="300">
        <v>2428</v>
      </c>
      <c r="V6" s="300">
        <v>1553</v>
      </c>
      <c r="W6" s="300">
        <v>1584</v>
      </c>
      <c r="X6" s="300">
        <v>1273</v>
      </c>
      <c r="Y6" s="300">
        <v>8653</v>
      </c>
      <c r="Z6" s="300">
        <v>198707456.26515517</v>
      </c>
      <c r="AA6" s="300">
        <v>427</v>
      </c>
      <c r="AB6" s="279">
        <v>714</v>
      </c>
      <c r="AC6" s="300">
        <v>3479</v>
      </c>
      <c r="AD6" s="300">
        <v>4</v>
      </c>
      <c r="AE6" s="300">
        <v>56</v>
      </c>
      <c r="AF6" s="300">
        <v>72</v>
      </c>
      <c r="AG6" s="300">
        <v>961</v>
      </c>
      <c r="AH6" s="300">
        <v>758</v>
      </c>
      <c r="AI6" s="300"/>
      <c r="AJ6" s="300"/>
      <c r="AK6" s="300"/>
      <c r="AL6" s="300"/>
      <c r="AM6" s="300"/>
      <c r="AN6" s="300"/>
      <c r="AO6" s="300"/>
      <c r="AP6" s="300"/>
      <c r="AQ6" s="300"/>
      <c r="AR6" s="300"/>
      <c r="AS6" s="300"/>
      <c r="AT6" s="300"/>
      <c r="AU6" s="300"/>
      <c r="AV6" s="300"/>
      <c r="AW6" s="300"/>
      <c r="AX6" s="300"/>
      <c r="AY6" s="300"/>
      <c r="AZ6" s="266"/>
      <c r="BA6" s="266"/>
      <c r="BB6" s="266"/>
    </row>
    <row r="7" spans="1:54">
      <c r="A7" s="298" t="s">
        <v>49</v>
      </c>
      <c r="B7" s="299">
        <v>8</v>
      </c>
      <c r="C7" s="298" t="s">
        <v>59</v>
      </c>
      <c r="D7" s="298" t="s">
        <v>7</v>
      </c>
      <c r="E7" s="299" t="s">
        <v>324</v>
      </c>
      <c r="F7" s="298">
        <v>2022</v>
      </c>
      <c r="G7" s="300">
        <v>9756</v>
      </c>
      <c r="H7" s="300">
        <v>4646</v>
      </c>
      <c r="I7" s="300">
        <v>5110</v>
      </c>
      <c r="J7" s="300">
        <v>63627</v>
      </c>
      <c r="K7" s="279">
        <v>155</v>
      </c>
      <c r="L7" s="279">
        <v>47</v>
      </c>
      <c r="M7" s="279">
        <v>32</v>
      </c>
      <c r="N7" s="300">
        <v>8737</v>
      </c>
      <c r="O7" s="300">
        <v>202743</v>
      </c>
      <c r="P7" s="300">
        <v>5090</v>
      </c>
      <c r="Q7" s="300">
        <v>8336</v>
      </c>
      <c r="R7" s="300">
        <v>1809</v>
      </c>
      <c r="S7" s="300">
        <v>1072</v>
      </c>
      <c r="T7" s="300">
        <v>7068</v>
      </c>
      <c r="U7" s="300">
        <v>3750</v>
      </c>
      <c r="V7" s="300">
        <v>1632</v>
      </c>
      <c r="W7" s="300">
        <v>1627</v>
      </c>
      <c r="X7" s="300">
        <v>1510</v>
      </c>
      <c r="Y7" s="300">
        <v>9756</v>
      </c>
      <c r="Z7" s="300">
        <v>193206744.52680892</v>
      </c>
      <c r="AA7" s="300">
        <v>576</v>
      </c>
      <c r="AB7" s="279">
        <v>983</v>
      </c>
      <c r="AC7" s="300">
        <v>4037</v>
      </c>
      <c r="AD7" s="300">
        <v>613</v>
      </c>
      <c r="AE7" s="300">
        <v>93</v>
      </c>
      <c r="AF7" s="300">
        <v>94</v>
      </c>
      <c r="AG7" s="300">
        <v>39</v>
      </c>
      <c r="AH7" s="300">
        <v>39</v>
      </c>
      <c r="AI7" s="300">
        <v>349</v>
      </c>
      <c r="AJ7" s="300"/>
      <c r="AK7" s="300"/>
      <c r="AL7" s="300"/>
      <c r="AM7" s="300"/>
      <c r="AN7" s="300"/>
      <c r="AO7" s="300"/>
      <c r="AP7" s="300"/>
      <c r="AQ7" s="300"/>
      <c r="AR7" s="300"/>
      <c r="AS7" s="300"/>
      <c r="AT7" s="300"/>
      <c r="AU7" s="300"/>
      <c r="AV7" s="300"/>
      <c r="AW7" s="300"/>
      <c r="AX7" s="300"/>
      <c r="AY7" s="300"/>
      <c r="AZ7" s="266"/>
      <c r="BA7" s="266"/>
      <c r="BB7" s="266"/>
    </row>
    <row r="8" spans="1:54">
      <c r="A8" s="298" t="s">
        <v>50</v>
      </c>
      <c r="B8" s="299">
        <v>9</v>
      </c>
      <c r="C8" s="298" t="s">
        <v>84</v>
      </c>
      <c r="D8" s="298" t="s">
        <v>32</v>
      </c>
      <c r="E8" s="299" t="s">
        <v>324</v>
      </c>
      <c r="F8" s="298">
        <v>2022</v>
      </c>
      <c r="G8" s="300">
        <v>44777</v>
      </c>
      <c r="H8" s="300">
        <v>17484</v>
      </c>
      <c r="I8" s="300">
        <v>27293</v>
      </c>
      <c r="J8" s="300">
        <v>141773</v>
      </c>
      <c r="K8" s="279">
        <v>568</v>
      </c>
      <c r="L8" s="279">
        <v>130</v>
      </c>
      <c r="M8" s="279">
        <v>140</v>
      </c>
      <c r="N8" s="300">
        <v>38896</v>
      </c>
      <c r="O8" s="300">
        <v>362204</v>
      </c>
      <c r="P8" s="300">
        <v>21598</v>
      </c>
      <c r="Q8" s="300">
        <v>46483</v>
      </c>
      <c r="R8" s="300">
        <v>11725</v>
      </c>
      <c r="S8" s="300">
        <v>10231</v>
      </c>
      <c r="T8" s="300">
        <v>43891</v>
      </c>
      <c r="U8" s="300">
        <v>18983</v>
      </c>
      <c r="V8" s="300">
        <v>10249</v>
      </c>
      <c r="W8" s="300">
        <v>8846</v>
      </c>
      <c r="X8" s="300">
        <v>4677</v>
      </c>
      <c r="Y8" s="300">
        <v>44777</v>
      </c>
      <c r="Z8" s="300">
        <v>827522454.30157125</v>
      </c>
      <c r="AA8" s="300">
        <v>2196</v>
      </c>
      <c r="AB8" s="279">
        <v>3705</v>
      </c>
      <c r="AC8" s="300">
        <v>4682</v>
      </c>
      <c r="AD8" s="300">
        <v>409</v>
      </c>
      <c r="AE8" s="300">
        <v>210</v>
      </c>
      <c r="AF8" s="300">
        <v>263</v>
      </c>
      <c r="AG8" s="300">
        <v>2581</v>
      </c>
      <c r="AH8" s="300">
        <v>1996</v>
      </c>
      <c r="AI8" s="300"/>
      <c r="AJ8" s="300"/>
      <c r="AK8" s="300"/>
      <c r="AL8" s="300"/>
      <c r="AM8" s="300"/>
      <c r="AN8" s="300"/>
      <c r="AO8" s="300"/>
      <c r="AP8" s="300"/>
      <c r="AQ8" s="300"/>
      <c r="AR8" s="300"/>
      <c r="AS8" s="300"/>
      <c r="AT8" s="300"/>
      <c r="AU8" s="300"/>
      <c r="AV8" s="300"/>
      <c r="AW8" s="300"/>
      <c r="AX8" s="300"/>
      <c r="AY8" s="300"/>
      <c r="AZ8" s="266"/>
      <c r="BA8" s="266"/>
      <c r="BB8" s="266"/>
    </row>
    <row r="9" spans="1:54">
      <c r="A9" s="298" t="s">
        <v>49</v>
      </c>
      <c r="B9" s="299">
        <v>5</v>
      </c>
      <c r="C9" s="298" t="s">
        <v>60</v>
      </c>
      <c r="D9" s="298" t="s">
        <v>31</v>
      </c>
      <c r="E9" s="299" t="s">
        <v>324</v>
      </c>
      <c r="F9" s="298">
        <v>2022</v>
      </c>
      <c r="G9" s="300">
        <v>10128</v>
      </c>
      <c r="H9" s="300">
        <v>3960</v>
      </c>
      <c r="I9" s="300">
        <v>6168</v>
      </c>
      <c r="J9" s="300">
        <v>50818</v>
      </c>
      <c r="K9" s="279">
        <v>134</v>
      </c>
      <c r="L9" s="279">
        <v>46</v>
      </c>
      <c r="M9" s="279">
        <v>35</v>
      </c>
      <c r="N9" s="300">
        <v>9596</v>
      </c>
      <c r="O9" s="300">
        <v>167242</v>
      </c>
      <c r="P9" s="300">
        <v>4824</v>
      </c>
      <c r="Q9" s="300">
        <v>10123</v>
      </c>
      <c r="R9" s="300">
        <v>2847</v>
      </c>
      <c r="S9" s="300">
        <v>772</v>
      </c>
      <c r="T9" s="300">
        <v>9417</v>
      </c>
      <c r="U9" s="300">
        <v>3726</v>
      </c>
      <c r="V9" s="300">
        <v>2726</v>
      </c>
      <c r="W9" s="300">
        <v>2844</v>
      </c>
      <c r="X9" s="300">
        <v>2842</v>
      </c>
      <c r="Y9" s="300">
        <v>10128</v>
      </c>
      <c r="Z9" s="300">
        <v>179270967.99443966</v>
      </c>
      <c r="AA9" s="300">
        <v>419</v>
      </c>
      <c r="AB9" s="279">
        <v>1141</v>
      </c>
      <c r="AC9" s="300">
        <v>2960</v>
      </c>
      <c r="AD9" s="300">
        <v>65</v>
      </c>
      <c r="AE9" s="300">
        <v>25</v>
      </c>
      <c r="AF9" s="300">
        <v>226</v>
      </c>
      <c r="AG9" s="300">
        <v>52</v>
      </c>
      <c r="AH9" s="300">
        <v>52</v>
      </c>
      <c r="AI9" s="300"/>
      <c r="AJ9" s="300"/>
      <c r="AK9" s="300"/>
      <c r="AL9" s="300"/>
      <c r="AM9" s="300"/>
      <c r="AN9" s="300"/>
      <c r="AO9" s="300"/>
      <c r="AP9" s="300"/>
      <c r="AQ9" s="300"/>
      <c r="AR9" s="300"/>
      <c r="AS9" s="300"/>
      <c r="AT9" s="300"/>
      <c r="AU9" s="300"/>
      <c r="AV9" s="300"/>
      <c r="AW9" s="300"/>
      <c r="AX9" s="300"/>
      <c r="AY9" s="300"/>
      <c r="AZ9" s="266"/>
      <c r="BA9" s="266"/>
      <c r="BB9" s="266"/>
    </row>
    <row r="10" spans="1:54">
      <c r="A10" s="298" t="s">
        <v>49</v>
      </c>
      <c r="B10" s="299">
        <v>6</v>
      </c>
      <c r="C10" s="298" t="s">
        <v>61</v>
      </c>
      <c r="D10" s="298" t="s">
        <v>8</v>
      </c>
      <c r="E10" s="299" t="s">
        <v>324</v>
      </c>
      <c r="F10" s="298">
        <v>2022</v>
      </c>
      <c r="G10" s="300">
        <v>1800</v>
      </c>
      <c r="H10" s="300">
        <v>735</v>
      </c>
      <c r="I10" s="300">
        <v>1065</v>
      </c>
      <c r="J10" s="300">
        <v>10776</v>
      </c>
      <c r="K10" s="279">
        <v>47</v>
      </c>
      <c r="L10" s="279">
        <v>6</v>
      </c>
      <c r="M10" s="279">
        <v>11</v>
      </c>
      <c r="N10" s="300">
        <v>1153</v>
      </c>
      <c r="O10" s="300">
        <v>40089</v>
      </c>
      <c r="P10" s="300">
        <v>857</v>
      </c>
      <c r="Q10" s="300">
        <v>1760</v>
      </c>
      <c r="R10" s="300">
        <v>422</v>
      </c>
      <c r="S10" s="300">
        <v>206</v>
      </c>
      <c r="T10" s="300">
        <v>1538</v>
      </c>
      <c r="U10" s="300">
        <v>773</v>
      </c>
      <c r="V10" s="300">
        <v>332</v>
      </c>
      <c r="W10" s="300">
        <v>357</v>
      </c>
      <c r="X10" s="300">
        <v>325</v>
      </c>
      <c r="Y10" s="300">
        <v>1800</v>
      </c>
      <c r="Z10" s="300">
        <v>50359152.541857749</v>
      </c>
      <c r="AA10" s="300">
        <v>110</v>
      </c>
      <c r="AB10" s="279">
        <v>320</v>
      </c>
      <c r="AC10" s="300">
        <v>968</v>
      </c>
      <c r="AD10" s="300">
        <v>114</v>
      </c>
      <c r="AE10" s="300">
        <v>1</v>
      </c>
      <c r="AF10" s="300">
        <v>2</v>
      </c>
      <c r="AG10" s="300">
        <v>114</v>
      </c>
      <c r="AH10" s="300">
        <v>114</v>
      </c>
      <c r="AI10" s="300"/>
      <c r="AJ10" s="300"/>
      <c r="AK10" s="300"/>
      <c r="AL10" s="300"/>
      <c r="AM10" s="300"/>
      <c r="AN10" s="300"/>
      <c r="AO10" s="300"/>
      <c r="AP10" s="300"/>
      <c r="AQ10" s="300"/>
      <c r="AR10" s="300"/>
      <c r="AS10" s="300"/>
      <c r="AT10" s="300"/>
      <c r="AU10" s="300"/>
      <c r="AV10" s="300"/>
      <c r="AW10" s="300"/>
      <c r="AX10" s="300"/>
      <c r="AY10" s="300"/>
      <c r="AZ10" s="266"/>
      <c r="BA10" s="266"/>
      <c r="BB10" s="266"/>
    </row>
    <row r="11" spans="1:54">
      <c r="A11" s="298" t="s">
        <v>49</v>
      </c>
      <c r="B11" s="299">
        <v>10</v>
      </c>
      <c r="C11" s="298" t="s">
        <v>62</v>
      </c>
      <c r="D11" s="298" t="s">
        <v>9</v>
      </c>
      <c r="E11" s="299" t="s">
        <v>324</v>
      </c>
      <c r="F11" s="298">
        <v>2022</v>
      </c>
      <c r="G11" s="300">
        <v>1782</v>
      </c>
      <c r="H11" s="300">
        <v>809</v>
      </c>
      <c r="I11" s="300">
        <v>973</v>
      </c>
      <c r="J11" s="300">
        <v>28856</v>
      </c>
      <c r="K11" s="279">
        <v>51</v>
      </c>
      <c r="L11" s="279">
        <v>19</v>
      </c>
      <c r="M11" s="279">
        <v>10</v>
      </c>
      <c r="N11" s="300">
        <v>1523</v>
      </c>
      <c r="O11" s="300">
        <v>103401</v>
      </c>
      <c r="P11" s="300">
        <v>884</v>
      </c>
      <c r="Q11" s="300">
        <v>1607</v>
      </c>
      <c r="R11" s="300">
        <v>265</v>
      </c>
      <c r="S11" s="300">
        <v>278</v>
      </c>
      <c r="T11" s="300">
        <v>1278</v>
      </c>
      <c r="U11" s="300">
        <v>716</v>
      </c>
      <c r="V11" s="300">
        <v>243</v>
      </c>
      <c r="W11" s="300">
        <v>267</v>
      </c>
      <c r="X11" s="300">
        <v>136</v>
      </c>
      <c r="Y11" s="300">
        <v>1782</v>
      </c>
      <c r="Z11" s="300">
        <v>50728550.520300001</v>
      </c>
      <c r="AA11" s="300">
        <v>139</v>
      </c>
      <c r="AB11" s="279">
        <v>260</v>
      </c>
      <c r="AC11" s="300">
        <v>1912</v>
      </c>
      <c r="AD11" s="300">
        <v>55</v>
      </c>
      <c r="AE11" s="300">
        <v>16</v>
      </c>
      <c r="AF11" s="300">
        <v>16</v>
      </c>
      <c r="AG11" s="300">
        <v>166</v>
      </c>
      <c r="AH11" s="300">
        <v>48</v>
      </c>
      <c r="AI11" s="300"/>
      <c r="AJ11" s="300"/>
      <c r="AK11" s="300"/>
      <c r="AL11" s="300"/>
      <c r="AM11" s="300"/>
      <c r="AN11" s="300"/>
      <c r="AO11" s="300"/>
      <c r="AP11" s="300"/>
      <c r="AQ11" s="300"/>
      <c r="AR11" s="300"/>
      <c r="AS11" s="300"/>
      <c r="AT11" s="300"/>
      <c r="AU11" s="300"/>
      <c r="AV11" s="300"/>
      <c r="AW11" s="300"/>
      <c r="AX11" s="300"/>
      <c r="AY11" s="300"/>
      <c r="AZ11" s="266"/>
      <c r="BA11" s="266"/>
      <c r="BB11" s="266"/>
    </row>
    <row r="12" spans="1:54">
      <c r="A12" s="298" t="s">
        <v>49</v>
      </c>
      <c r="B12" s="299">
        <v>11</v>
      </c>
      <c r="C12" s="298" t="s">
        <v>63</v>
      </c>
      <c r="D12" s="298" t="s">
        <v>10</v>
      </c>
      <c r="E12" s="299" t="s">
        <v>324</v>
      </c>
      <c r="F12" s="298">
        <v>2022</v>
      </c>
      <c r="G12" s="300">
        <v>17308</v>
      </c>
      <c r="H12" s="300">
        <v>6843</v>
      </c>
      <c r="I12" s="300">
        <v>10465</v>
      </c>
      <c r="J12" s="300">
        <v>100883</v>
      </c>
      <c r="K12" s="279">
        <v>309</v>
      </c>
      <c r="L12" s="279">
        <v>90</v>
      </c>
      <c r="M12" s="279">
        <v>82</v>
      </c>
      <c r="N12" s="300">
        <v>15952</v>
      </c>
      <c r="O12" s="300">
        <v>338825</v>
      </c>
      <c r="P12" s="300">
        <v>8416</v>
      </c>
      <c r="Q12" s="300">
        <v>16462</v>
      </c>
      <c r="R12" s="300">
        <v>4258</v>
      </c>
      <c r="S12" s="300">
        <v>2758</v>
      </c>
      <c r="T12" s="300">
        <v>15262</v>
      </c>
      <c r="U12" s="300">
        <v>6879</v>
      </c>
      <c r="V12" s="300">
        <v>4028</v>
      </c>
      <c r="W12" s="300">
        <v>4068</v>
      </c>
      <c r="X12" s="300">
        <v>3841</v>
      </c>
      <c r="Y12" s="300">
        <v>17308</v>
      </c>
      <c r="Z12" s="300">
        <v>284031616.38553494</v>
      </c>
      <c r="AA12" s="300">
        <v>764</v>
      </c>
      <c r="AB12" s="279">
        <v>2187</v>
      </c>
      <c r="AC12" s="300">
        <v>2223</v>
      </c>
      <c r="AD12" s="300">
        <v>354</v>
      </c>
      <c r="AE12" s="300">
        <v>811</v>
      </c>
      <c r="AF12" s="300">
        <v>982</v>
      </c>
      <c r="AG12" s="300">
        <v>345</v>
      </c>
      <c r="AH12" s="300">
        <v>278</v>
      </c>
      <c r="AI12" s="300">
        <v>8068</v>
      </c>
      <c r="AJ12" s="300"/>
      <c r="AK12" s="300"/>
      <c r="AL12" s="300"/>
      <c r="AM12" s="300"/>
      <c r="AN12" s="300"/>
      <c r="AO12" s="300"/>
      <c r="AP12" s="300"/>
      <c r="AQ12" s="300"/>
      <c r="AR12" s="300"/>
      <c r="AS12" s="300"/>
      <c r="AT12" s="300"/>
      <c r="AU12" s="300"/>
      <c r="AV12" s="300"/>
      <c r="AW12" s="300"/>
      <c r="AX12" s="300"/>
      <c r="AY12" s="300"/>
      <c r="AZ12" s="266"/>
      <c r="BA12" s="266"/>
      <c r="BB12" s="266"/>
    </row>
    <row r="13" spans="1:54">
      <c r="A13" s="298" t="s">
        <v>49</v>
      </c>
      <c r="B13" s="299">
        <v>12</v>
      </c>
      <c r="C13" s="298" t="s">
        <v>64</v>
      </c>
      <c r="D13" s="298" t="s">
        <v>11</v>
      </c>
      <c r="E13" s="299" t="s">
        <v>324</v>
      </c>
      <c r="F13" s="298">
        <v>2022</v>
      </c>
      <c r="G13" s="300">
        <v>5993</v>
      </c>
      <c r="H13" s="300">
        <v>2470</v>
      </c>
      <c r="I13" s="300">
        <v>3523</v>
      </c>
      <c r="J13" s="300">
        <v>59820</v>
      </c>
      <c r="K13" s="279">
        <v>134</v>
      </c>
      <c r="L13" s="279">
        <v>26</v>
      </c>
      <c r="M13" s="279">
        <v>41</v>
      </c>
      <c r="N13" s="300">
        <v>5209</v>
      </c>
      <c r="O13" s="300">
        <v>208511</v>
      </c>
      <c r="P13" s="300">
        <v>2884</v>
      </c>
      <c r="Q13" s="300">
        <v>5818</v>
      </c>
      <c r="R13" s="300">
        <v>1166</v>
      </c>
      <c r="S13" s="300">
        <v>939</v>
      </c>
      <c r="T13" s="300">
        <v>4825</v>
      </c>
      <c r="U13" s="300">
        <v>2417</v>
      </c>
      <c r="V13" s="300">
        <v>1079</v>
      </c>
      <c r="W13" s="300">
        <v>1270</v>
      </c>
      <c r="X13" s="300">
        <v>1058</v>
      </c>
      <c r="Y13" s="300">
        <v>5993</v>
      </c>
      <c r="Z13" s="300">
        <v>167214807.72838384</v>
      </c>
      <c r="AA13" s="300">
        <v>292</v>
      </c>
      <c r="AB13" s="279">
        <v>719</v>
      </c>
      <c r="AC13" s="300">
        <v>15428</v>
      </c>
      <c r="AD13" s="300">
        <v>639</v>
      </c>
      <c r="AE13" s="300">
        <v>5</v>
      </c>
      <c r="AF13" s="300">
        <v>24</v>
      </c>
      <c r="AG13" s="300">
        <v>168</v>
      </c>
      <c r="AH13" s="300">
        <v>168</v>
      </c>
      <c r="AI13" s="300"/>
      <c r="AJ13" s="300"/>
      <c r="AK13" s="300"/>
      <c r="AL13" s="300"/>
      <c r="AM13" s="300"/>
      <c r="AN13" s="300"/>
      <c r="AO13" s="300"/>
      <c r="AP13" s="300"/>
      <c r="AQ13" s="300"/>
      <c r="AR13" s="300"/>
      <c r="AS13" s="300"/>
      <c r="AT13" s="300"/>
      <c r="AU13" s="300"/>
      <c r="AV13" s="300"/>
      <c r="AW13" s="300"/>
      <c r="AX13" s="300"/>
      <c r="AY13" s="300"/>
      <c r="AZ13" s="266"/>
      <c r="BA13" s="266"/>
      <c r="BB13" s="266"/>
    </row>
    <row r="14" spans="1:54">
      <c r="A14" s="298" t="s">
        <v>49</v>
      </c>
      <c r="B14" s="299">
        <v>13</v>
      </c>
      <c r="C14" s="298" t="s">
        <v>65</v>
      </c>
      <c r="D14" s="298" t="s">
        <v>12</v>
      </c>
      <c r="E14" s="299" t="s">
        <v>324</v>
      </c>
      <c r="F14" s="298">
        <v>2022</v>
      </c>
      <c r="G14" s="300">
        <v>3885</v>
      </c>
      <c r="H14" s="300">
        <v>1582</v>
      </c>
      <c r="I14" s="300">
        <v>2303</v>
      </c>
      <c r="J14" s="300">
        <v>55325</v>
      </c>
      <c r="K14" s="279">
        <v>72</v>
      </c>
      <c r="L14" s="279">
        <v>37</v>
      </c>
      <c r="M14" s="279">
        <v>17</v>
      </c>
      <c r="N14" s="300">
        <v>3504</v>
      </c>
      <c r="O14" s="300">
        <v>166161</v>
      </c>
      <c r="P14" s="300">
        <v>2100</v>
      </c>
      <c r="Q14" s="300">
        <v>3684</v>
      </c>
      <c r="R14" s="300">
        <v>938</v>
      </c>
      <c r="S14" s="300">
        <v>557</v>
      </c>
      <c r="T14" s="300">
        <v>3439</v>
      </c>
      <c r="U14" s="300">
        <v>1520</v>
      </c>
      <c r="V14" s="300">
        <v>881</v>
      </c>
      <c r="W14" s="300">
        <v>868</v>
      </c>
      <c r="X14" s="300">
        <v>868</v>
      </c>
      <c r="Y14" s="300">
        <v>3885</v>
      </c>
      <c r="Z14" s="300">
        <v>78836376.058385909</v>
      </c>
      <c r="AA14" s="300">
        <v>192</v>
      </c>
      <c r="AB14" s="279">
        <v>428</v>
      </c>
      <c r="AC14" s="300">
        <v>1841</v>
      </c>
      <c r="AD14" s="300">
        <v>292</v>
      </c>
      <c r="AE14" s="300">
        <v>31</v>
      </c>
      <c r="AF14" s="300">
        <v>33</v>
      </c>
      <c r="AG14" s="300">
        <v>298</v>
      </c>
      <c r="AH14" s="300">
        <v>195</v>
      </c>
      <c r="AI14" s="300"/>
      <c r="AJ14" s="300"/>
      <c r="AK14" s="300"/>
      <c r="AL14" s="300"/>
      <c r="AM14" s="300"/>
      <c r="AN14" s="300"/>
      <c r="AO14" s="300"/>
      <c r="AP14" s="300"/>
      <c r="AQ14" s="300"/>
      <c r="AR14" s="300"/>
      <c r="AS14" s="300"/>
      <c r="AT14" s="300"/>
      <c r="AU14" s="300"/>
      <c r="AV14" s="300"/>
      <c r="AW14" s="300"/>
      <c r="AX14" s="300"/>
      <c r="AY14" s="300"/>
      <c r="AZ14" s="266"/>
      <c r="BA14" s="266"/>
      <c r="BB14" s="266"/>
    </row>
    <row r="15" spans="1:54">
      <c r="A15" s="298" t="s">
        <v>49</v>
      </c>
      <c r="B15" s="299">
        <v>14</v>
      </c>
      <c r="C15" s="298" t="s">
        <v>66</v>
      </c>
      <c r="D15" s="298" t="s">
        <v>13</v>
      </c>
      <c r="E15" s="299" t="s">
        <v>324</v>
      </c>
      <c r="F15" s="298">
        <v>2022</v>
      </c>
      <c r="G15" s="300">
        <v>13082</v>
      </c>
      <c r="H15" s="300">
        <v>5272</v>
      </c>
      <c r="I15" s="300">
        <v>7810</v>
      </c>
      <c r="J15" s="300">
        <v>135174</v>
      </c>
      <c r="K15" s="279">
        <v>273</v>
      </c>
      <c r="L15" s="279">
        <v>39</v>
      </c>
      <c r="M15" s="279">
        <v>64</v>
      </c>
      <c r="N15" s="300">
        <v>11215</v>
      </c>
      <c r="O15" s="300">
        <v>445616</v>
      </c>
      <c r="P15" s="300">
        <v>5456</v>
      </c>
      <c r="Q15" s="300">
        <v>13107</v>
      </c>
      <c r="R15" s="300">
        <v>3101</v>
      </c>
      <c r="S15" s="300">
        <v>2409</v>
      </c>
      <c r="T15" s="300">
        <v>11897</v>
      </c>
      <c r="U15" s="300">
        <v>5317</v>
      </c>
      <c r="V15" s="300">
        <v>2779</v>
      </c>
      <c r="W15" s="300">
        <v>2750</v>
      </c>
      <c r="X15" s="300">
        <v>2301</v>
      </c>
      <c r="Y15" s="300">
        <v>13082</v>
      </c>
      <c r="Z15" s="300">
        <v>305794686.56970632</v>
      </c>
      <c r="AA15" s="300">
        <v>740</v>
      </c>
      <c r="AB15" s="279">
        <v>2084</v>
      </c>
      <c r="AC15" s="300">
        <v>4283</v>
      </c>
      <c r="AD15" s="300">
        <v>466</v>
      </c>
      <c r="AE15" s="300">
        <v>903</v>
      </c>
      <c r="AF15" s="300">
        <v>1037</v>
      </c>
      <c r="AG15" s="300">
        <v>827</v>
      </c>
      <c r="AH15" s="300">
        <v>337</v>
      </c>
      <c r="AI15" s="300">
        <v>620</v>
      </c>
      <c r="AJ15" s="300"/>
      <c r="AK15" s="300"/>
      <c r="AL15" s="300"/>
      <c r="AM15" s="300"/>
      <c r="AN15" s="300"/>
      <c r="AO15" s="300"/>
      <c r="AP15" s="300"/>
      <c r="AQ15" s="300"/>
      <c r="AR15" s="300"/>
      <c r="AS15" s="300"/>
      <c r="AT15" s="300"/>
      <c r="AU15" s="300"/>
      <c r="AV15" s="300"/>
      <c r="AW15" s="300"/>
      <c r="AX15" s="300"/>
      <c r="AY15" s="300"/>
      <c r="AZ15" s="266"/>
      <c r="BA15" s="266"/>
      <c r="BB15" s="266"/>
    </row>
    <row r="16" spans="1:54">
      <c r="A16" s="298" t="s">
        <v>49</v>
      </c>
      <c r="B16" s="299">
        <v>15</v>
      </c>
      <c r="C16" s="298" t="s">
        <v>67</v>
      </c>
      <c r="D16" s="298" t="s">
        <v>14</v>
      </c>
      <c r="E16" s="299" t="s">
        <v>324</v>
      </c>
      <c r="F16" s="298">
        <v>2022</v>
      </c>
      <c r="G16" s="300">
        <v>50543</v>
      </c>
      <c r="H16" s="300">
        <v>19574</v>
      </c>
      <c r="I16" s="300">
        <v>30969</v>
      </c>
      <c r="J16" s="300">
        <v>285765</v>
      </c>
      <c r="K16" s="279">
        <v>790</v>
      </c>
      <c r="L16" s="279">
        <v>188</v>
      </c>
      <c r="M16" s="279">
        <v>211</v>
      </c>
      <c r="N16" s="300">
        <v>45965</v>
      </c>
      <c r="O16" s="300">
        <v>884035</v>
      </c>
      <c r="P16" s="300">
        <v>19607</v>
      </c>
      <c r="Q16" s="300">
        <v>48029</v>
      </c>
      <c r="R16" s="300">
        <v>12467</v>
      </c>
      <c r="S16" s="300">
        <v>4038</v>
      </c>
      <c r="T16" s="300">
        <v>45825</v>
      </c>
      <c r="U16" s="300">
        <v>18923</v>
      </c>
      <c r="V16" s="300">
        <v>11113</v>
      </c>
      <c r="W16" s="300">
        <v>10186</v>
      </c>
      <c r="X16" s="300">
        <v>6474</v>
      </c>
      <c r="Y16" s="300">
        <v>50543</v>
      </c>
      <c r="Z16" s="300">
        <v>899576487.46477783</v>
      </c>
      <c r="AA16" s="300">
        <v>2089</v>
      </c>
      <c r="AB16" s="279">
        <v>4445</v>
      </c>
      <c r="AC16" s="300">
        <v>6829</v>
      </c>
      <c r="AD16" s="300">
        <v>964</v>
      </c>
      <c r="AE16" s="300">
        <v>952</v>
      </c>
      <c r="AF16" s="300">
        <v>1164</v>
      </c>
      <c r="AG16" s="300">
        <v>46072</v>
      </c>
      <c r="AH16" s="300">
        <v>38684</v>
      </c>
      <c r="AI16" s="300">
        <v>1142</v>
      </c>
      <c r="AJ16" s="300"/>
      <c r="AK16" s="300"/>
      <c r="AL16" s="300"/>
      <c r="AM16" s="300"/>
      <c r="AN16" s="300"/>
      <c r="AO16" s="300"/>
      <c r="AP16" s="300"/>
      <c r="AQ16" s="300"/>
      <c r="AR16" s="300"/>
      <c r="AS16" s="300"/>
      <c r="AT16" s="300"/>
      <c r="AU16" s="300"/>
      <c r="AV16" s="300"/>
      <c r="AW16" s="300"/>
      <c r="AX16" s="300"/>
      <c r="AY16" s="300"/>
    </row>
    <row r="17" spans="1:51">
      <c r="A17" s="298" t="s">
        <v>49</v>
      </c>
      <c r="B17" s="299">
        <v>16</v>
      </c>
      <c r="C17" s="298" t="s">
        <v>68</v>
      </c>
      <c r="D17" s="298" t="s">
        <v>30</v>
      </c>
      <c r="E17" s="299" t="s">
        <v>324</v>
      </c>
      <c r="F17" s="298">
        <v>2022</v>
      </c>
      <c r="G17" s="300">
        <v>11459</v>
      </c>
      <c r="H17" s="300">
        <v>4882</v>
      </c>
      <c r="I17" s="300">
        <v>6577</v>
      </c>
      <c r="J17" s="300">
        <v>66089</v>
      </c>
      <c r="K17" s="279">
        <v>245</v>
      </c>
      <c r="L17" s="279">
        <v>53</v>
      </c>
      <c r="M17" s="279">
        <v>67</v>
      </c>
      <c r="N17" s="300">
        <v>10116</v>
      </c>
      <c r="O17" s="300">
        <v>260706</v>
      </c>
      <c r="P17" s="300">
        <v>5868</v>
      </c>
      <c r="Q17" s="300">
        <v>10545</v>
      </c>
      <c r="R17" s="300">
        <v>2732</v>
      </c>
      <c r="S17" s="300">
        <v>857</v>
      </c>
      <c r="T17" s="300">
        <v>9759</v>
      </c>
      <c r="U17" s="300">
        <v>4436</v>
      </c>
      <c r="V17" s="300">
        <v>2432</v>
      </c>
      <c r="W17" s="300">
        <v>2325</v>
      </c>
      <c r="X17" s="300">
        <v>2054</v>
      </c>
      <c r="Y17" s="300">
        <v>11459</v>
      </c>
      <c r="Z17" s="300">
        <v>232419055.05010808</v>
      </c>
      <c r="AA17" s="300">
        <v>444</v>
      </c>
      <c r="AB17" s="279">
        <v>1204</v>
      </c>
      <c r="AC17" s="300">
        <v>882</v>
      </c>
      <c r="AD17" s="300">
        <v>657</v>
      </c>
      <c r="AE17" s="300">
        <v>146</v>
      </c>
      <c r="AF17" s="300">
        <v>164</v>
      </c>
      <c r="AG17" s="300">
        <v>10274</v>
      </c>
      <c r="AH17" s="300">
        <v>7992</v>
      </c>
      <c r="AI17" s="300"/>
      <c r="AJ17" s="300"/>
      <c r="AK17" s="300"/>
      <c r="AL17" s="300"/>
      <c r="AM17" s="300"/>
      <c r="AN17" s="300"/>
      <c r="AO17" s="300"/>
      <c r="AP17" s="300"/>
      <c r="AQ17" s="300"/>
      <c r="AR17" s="300"/>
      <c r="AS17" s="300"/>
      <c r="AT17" s="300"/>
      <c r="AU17" s="300"/>
      <c r="AV17" s="300"/>
      <c r="AW17" s="300"/>
      <c r="AX17" s="300"/>
      <c r="AY17" s="300"/>
    </row>
    <row r="18" spans="1:51">
      <c r="A18" s="298" t="s">
        <v>49</v>
      </c>
      <c r="B18" s="299">
        <v>17</v>
      </c>
      <c r="C18" s="298" t="s">
        <v>69</v>
      </c>
      <c r="D18" s="298" t="s">
        <v>15</v>
      </c>
      <c r="E18" s="299" t="s">
        <v>324</v>
      </c>
      <c r="F18" s="298">
        <v>2022</v>
      </c>
      <c r="G18" s="300">
        <v>4790</v>
      </c>
      <c r="H18" s="300">
        <v>2057</v>
      </c>
      <c r="I18" s="300">
        <v>2733</v>
      </c>
      <c r="J18" s="300">
        <v>30324</v>
      </c>
      <c r="K18" s="279">
        <v>74</v>
      </c>
      <c r="L18" s="279">
        <v>17</v>
      </c>
      <c r="M18" s="279">
        <v>13</v>
      </c>
      <c r="N18" s="300">
        <v>4276</v>
      </c>
      <c r="O18" s="300">
        <v>102489</v>
      </c>
      <c r="P18" s="300">
        <v>2437</v>
      </c>
      <c r="Q18" s="300">
        <v>4277</v>
      </c>
      <c r="R18" s="300">
        <v>899</v>
      </c>
      <c r="S18" s="300">
        <v>464</v>
      </c>
      <c r="T18" s="300">
        <v>3594</v>
      </c>
      <c r="U18" s="300">
        <v>1884</v>
      </c>
      <c r="V18" s="300">
        <v>805</v>
      </c>
      <c r="W18" s="300">
        <v>854</v>
      </c>
      <c r="X18" s="300">
        <v>735</v>
      </c>
      <c r="Y18" s="300">
        <v>4790</v>
      </c>
      <c r="Z18" s="300">
        <v>87359886.976342246</v>
      </c>
      <c r="AA18" s="300">
        <v>238</v>
      </c>
      <c r="AB18" s="279">
        <v>532</v>
      </c>
      <c r="AC18" s="300">
        <v>7416</v>
      </c>
      <c r="AD18" s="300">
        <v>45</v>
      </c>
      <c r="AE18" s="300">
        <v>87</v>
      </c>
      <c r="AF18" s="300">
        <v>89</v>
      </c>
      <c r="AG18" s="300">
        <v>725</v>
      </c>
      <c r="AH18" s="300">
        <v>725</v>
      </c>
      <c r="AI18" s="300"/>
      <c r="AJ18" s="300"/>
      <c r="AK18" s="300"/>
      <c r="AL18" s="300"/>
      <c r="AM18" s="300"/>
      <c r="AN18" s="300"/>
      <c r="AO18" s="300"/>
      <c r="AP18" s="300"/>
      <c r="AQ18" s="300"/>
      <c r="AR18" s="300"/>
      <c r="AS18" s="300"/>
      <c r="AT18" s="300"/>
      <c r="AU18" s="300"/>
      <c r="AV18" s="300"/>
      <c r="AW18" s="300"/>
      <c r="AX18" s="300"/>
      <c r="AY18" s="300"/>
    </row>
    <row r="19" spans="1:51">
      <c r="A19" s="298" t="s">
        <v>49</v>
      </c>
      <c r="B19" s="299">
        <v>18</v>
      </c>
      <c r="C19" s="298" t="s">
        <v>70</v>
      </c>
      <c r="D19" s="298" t="s">
        <v>16</v>
      </c>
      <c r="E19" s="299" t="s">
        <v>324</v>
      </c>
      <c r="F19" s="298">
        <v>2022</v>
      </c>
      <c r="G19" s="300">
        <v>3487</v>
      </c>
      <c r="H19" s="300">
        <v>1582</v>
      </c>
      <c r="I19" s="300">
        <v>1905</v>
      </c>
      <c r="J19" s="300">
        <v>20292</v>
      </c>
      <c r="K19" s="279">
        <v>59</v>
      </c>
      <c r="L19" s="279">
        <v>10</v>
      </c>
      <c r="M19" s="279">
        <v>14</v>
      </c>
      <c r="N19" s="300">
        <v>3268</v>
      </c>
      <c r="O19" s="300">
        <v>69289</v>
      </c>
      <c r="P19" s="300">
        <v>1814</v>
      </c>
      <c r="Q19" s="300">
        <v>2949</v>
      </c>
      <c r="R19" s="300">
        <v>588</v>
      </c>
      <c r="S19" s="300">
        <v>807</v>
      </c>
      <c r="T19" s="300">
        <v>2716</v>
      </c>
      <c r="U19" s="300">
        <v>1353</v>
      </c>
      <c r="V19" s="300">
        <v>548</v>
      </c>
      <c r="W19" s="300">
        <v>433</v>
      </c>
      <c r="X19" s="300">
        <v>290</v>
      </c>
      <c r="Y19" s="300">
        <v>3487</v>
      </c>
      <c r="Z19" s="300">
        <v>59794704.334559582</v>
      </c>
      <c r="AA19" s="300">
        <v>115</v>
      </c>
      <c r="AB19" s="279">
        <v>361</v>
      </c>
      <c r="AC19" s="300">
        <v>712</v>
      </c>
      <c r="AD19" s="300">
        <v>39</v>
      </c>
      <c r="AE19" s="300">
        <v>16</v>
      </c>
      <c r="AF19" s="300">
        <v>19</v>
      </c>
      <c r="AG19" s="300">
        <v>0</v>
      </c>
      <c r="AH19" s="300">
        <v>0</v>
      </c>
      <c r="AI19" s="300"/>
      <c r="AJ19" s="300"/>
      <c r="AK19" s="300"/>
      <c r="AL19" s="300"/>
      <c r="AM19" s="300"/>
      <c r="AN19" s="300"/>
      <c r="AO19" s="300"/>
      <c r="AP19" s="300"/>
      <c r="AQ19" s="300"/>
      <c r="AR19" s="300"/>
      <c r="AS19" s="300"/>
      <c r="AT19" s="300"/>
      <c r="AU19" s="300"/>
      <c r="AV19" s="300"/>
      <c r="AW19" s="300"/>
      <c r="AX19" s="300"/>
      <c r="AY19" s="300"/>
    </row>
    <row r="20" spans="1:51">
      <c r="A20" s="298" t="s">
        <v>49</v>
      </c>
      <c r="B20" s="299">
        <v>19</v>
      </c>
      <c r="C20" s="298" t="s">
        <v>71</v>
      </c>
      <c r="D20" s="298" t="s">
        <v>17</v>
      </c>
      <c r="E20" s="299" t="s">
        <v>324</v>
      </c>
      <c r="F20" s="298">
        <v>2022</v>
      </c>
      <c r="G20" s="300">
        <v>21662</v>
      </c>
      <c r="H20" s="300">
        <v>9457</v>
      </c>
      <c r="I20" s="300">
        <v>12205</v>
      </c>
      <c r="J20" s="300">
        <v>92636</v>
      </c>
      <c r="K20" s="279">
        <v>297</v>
      </c>
      <c r="L20" s="279">
        <v>78</v>
      </c>
      <c r="M20" s="279">
        <v>81</v>
      </c>
      <c r="N20" s="300">
        <v>19203</v>
      </c>
      <c r="O20" s="300">
        <v>283767</v>
      </c>
      <c r="P20" s="300">
        <v>12314</v>
      </c>
      <c r="Q20" s="300">
        <v>23335</v>
      </c>
      <c r="R20" s="300">
        <v>5230</v>
      </c>
      <c r="S20" s="300">
        <v>5134</v>
      </c>
      <c r="T20" s="300">
        <v>19491</v>
      </c>
      <c r="U20" s="300">
        <v>8832</v>
      </c>
      <c r="V20" s="300">
        <v>5019</v>
      </c>
      <c r="W20" s="300">
        <v>5701</v>
      </c>
      <c r="X20" s="300">
        <v>5492</v>
      </c>
      <c r="Y20" s="300">
        <v>21662</v>
      </c>
      <c r="Z20" s="300">
        <v>267627108.49093634</v>
      </c>
      <c r="AA20" s="300">
        <v>957</v>
      </c>
      <c r="AB20" s="279">
        <v>1549</v>
      </c>
      <c r="AC20" s="300">
        <v>41660</v>
      </c>
      <c r="AD20" s="300">
        <v>2075</v>
      </c>
      <c r="AE20" s="300">
        <v>1453</v>
      </c>
      <c r="AF20" s="300">
        <v>1774</v>
      </c>
      <c r="AG20" s="300">
        <v>22919</v>
      </c>
      <c r="AH20" s="300">
        <v>15471</v>
      </c>
      <c r="AI20" s="300">
        <v>442</v>
      </c>
      <c r="AJ20" s="300"/>
      <c r="AK20" s="300"/>
      <c r="AL20" s="300"/>
      <c r="AM20" s="300"/>
      <c r="AN20" s="300"/>
      <c r="AO20" s="300"/>
      <c r="AP20" s="300"/>
      <c r="AQ20" s="300"/>
      <c r="AR20" s="300"/>
      <c r="AS20" s="300"/>
      <c r="AT20" s="300"/>
      <c r="AU20" s="300"/>
      <c r="AV20" s="300"/>
      <c r="AW20" s="300"/>
      <c r="AX20" s="300"/>
      <c r="AY20" s="300"/>
    </row>
    <row r="21" spans="1:51">
      <c r="A21" s="298" t="s">
        <v>50</v>
      </c>
      <c r="B21" s="299">
        <v>20</v>
      </c>
      <c r="C21" s="298" t="s">
        <v>85</v>
      </c>
      <c r="D21" s="298" t="s">
        <v>28</v>
      </c>
      <c r="E21" s="299" t="s">
        <v>324</v>
      </c>
      <c r="F21" s="298">
        <v>2022</v>
      </c>
      <c r="G21" s="300">
        <v>6550</v>
      </c>
      <c r="H21" s="300">
        <v>2866</v>
      </c>
      <c r="I21" s="300">
        <v>3684</v>
      </c>
      <c r="J21" s="300">
        <v>65985</v>
      </c>
      <c r="K21" s="279">
        <v>121</v>
      </c>
      <c r="L21" s="279">
        <v>24</v>
      </c>
      <c r="M21" s="279">
        <v>31</v>
      </c>
      <c r="N21" s="300">
        <v>5627</v>
      </c>
      <c r="O21" s="300">
        <v>229368</v>
      </c>
      <c r="P21" s="300">
        <v>3319</v>
      </c>
      <c r="Q21" s="300">
        <v>5832</v>
      </c>
      <c r="R21" s="300">
        <v>1182</v>
      </c>
      <c r="S21" s="300">
        <v>1079</v>
      </c>
      <c r="T21" s="300">
        <v>5018</v>
      </c>
      <c r="U21" s="300">
        <v>2674</v>
      </c>
      <c r="V21" s="300">
        <v>1058</v>
      </c>
      <c r="W21" s="300">
        <v>1004</v>
      </c>
      <c r="X21" s="300">
        <v>416</v>
      </c>
      <c r="Y21" s="300">
        <v>6550</v>
      </c>
      <c r="Z21" s="300">
        <v>234557658.79106081</v>
      </c>
      <c r="AA21" s="300">
        <v>410</v>
      </c>
      <c r="AB21" s="279">
        <v>637</v>
      </c>
      <c r="AC21" s="300">
        <v>275</v>
      </c>
      <c r="AD21" s="300">
        <v>6</v>
      </c>
      <c r="AE21" s="300">
        <v>0</v>
      </c>
      <c r="AF21" s="300">
        <v>0</v>
      </c>
      <c r="AG21" s="300">
        <v>342</v>
      </c>
      <c r="AH21" s="300">
        <v>61</v>
      </c>
      <c r="AI21" s="300"/>
      <c r="AJ21" s="300"/>
      <c r="AK21" s="300"/>
      <c r="AL21" s="300"/>
      <c r="AM21" s="300"/>
      <c r="AN21" s="300"/>
      <c r="AO21" s="300"/>
      <c r="AP21" s="300"/>
      <c r="AQ21" s="300"/>
      <c r="AR21" s="300"/>
      <c r="AS21" s="300"/>
      <c r="AT21" s="300"/>
      <c r="AU21" s="300"/>
      <c r="AV21" s="300"/>
      <c r="AW21" s="300"/>
      <c r="AX21" s="300"/>
      <c r="AY21" s="300"/>
    </row>
    <row r="22" spans="1:51">
      <c r="A22" s="298" t="s">
        <v>49</v>
      </c>
      <c r="B22" s="299">
        <v>21</v>
      </c>
      <c r="C22" s="298" t="s">
        <v>72</v>
      </c>
      <c r="D22" s="298" t="s">
        <v>18</v>
      </c>
      <c r="E22" s="299" t="s">
        <v>324</v>
      </c>
      <c r="F22" s="298">
        <v>2022</v>
      </c>
      <c r="G22" s="300">
        <v>7645</v>
      </c>
      <c r="H22" s="300">
        <v>2979</v>
      </c>
      <c r="I22" s="300">
        <v>4666</v>
      </c>
      <c r="J22" s="300">
        <v>109366</v>
      </c>
      <c r="K22" s="279">
        <v>153</v>
      </c>
      <c r="L22" s="279">
        <v>41</v>
      </c>
      <c r="M22" s="279">
        <v>39</v>
      </c>
      <c r="N22" s="300">
        <v>7006</v>
      </c>
      <c r="O22" s="300">
        <v>367195</v>
      </c>
      <c r="P22" s="300">
        <v>3639</v>
      </c>
      <c r="Q22" s="300">
        <v>7616</v>
      </c>
      <c r="R22" s="300">
        <v>1968</v>
      </c>
      <c r="S22" s="300">
        <v>936</v>
      </c>
      <c r="T22" s="300">
        <v>7000</v>
      </c>
      <c r="U22" s="300">
        <v>2713</v>
      </c>
      <c r="V22" s="300">
        <v>1844</v>
      </c>
      <c r="W22" s="300">
        <v>1850</v>
      </c>
      <c r="X22" s="300">
        <v>1703</v>
      </c>
      <c r="Y22" s="300">
        <v>7645</v>
      </c>
      <c r="Z22" s="300">
        <v>191758341.15988243</v>
      </c>
      <c r="AA22" s="300">
        <v>395</v>
      </c>
      <c r="AB22" s="279">
        <v>1005</v>
      </c>
      <c r="AC22" s="300">
        <v>3020</v>
      </c>
      <c r="AD22" s="300">
        <v>97</v>
      </c>
      <c r="AE22" s="300">
        <v>105</v>
      </c>
      <c r="AF22" s="300">
        <v>105</v>
      </c>
      <c r="AG22" s="300">
        <v>3194</v>
      </c>
      <c r="AH22" s="300">
        <v>2498</v>
      </c>
      <c r="AI22" s="300"/>
      <c r="AJ22" s="300"/>
      <c r="AK22" s="300"/>
      <c r="AL22" s="300"/>
      <c r="AM22" s="300"/>
      <c r="AN22" s="300"/>
      <c r="AO22" s="300"/>
      <c r="AP22" s="300"/>
      <c r="AQ22" s="300"/>
      <c r="AR22" s="300"/>
      <c r="AS22" s="300"/>
      <c r="AT22" s="300"/>
      <c r="AU22" s="300"/>
      <c r="AV22" s="300"/>
      <c r="AW22" s="300"/>
      <c r="AX22" s="300"/>
      <c r="AY22" s="300"/>
    </row>
    <row r="23" spans="1:51">
      <c r="A23" s="298" t="s">
        <v>49</v>
      </c>
      <c r="B23" s="299">
        <v>22</v>
      </c>
      <c r="C23" s="298" t="s">
        <v>73</v>
      </c>
      <c r="D23" s="298" t="s">
        <v>29</v>
      </c>
      <c r="E23" s="299" t="s">
        <v>324</v>
      </c>
      <c r="F23" s="298">
        <v>2022</v>
      </c>
      <c r="G23" s="300">
        <v>3851</v>
      </c>
      <c r="H23" s="300">
        <v>1730</v>
      </c>
      <c r="I23" s="300">
        <v>2121</v>
      </c>
      <c r="J23" s="300">
        <v>39965</v>
      </c>
      <c r="K23" s="279">
        <v>73</v>
      </c>
      <c r="L23" s="279">
        <v>27</v>
      </c>
      <c r="M23" s="279">
        <v>27</v>
      </c>
      <c r="N23" s="300">
        <v>3521</v>
      </c>
      <c r="O23" s="300">
        <v>120941</v>
      </c>
      <c r="P23" s="300">
        <v>1886</v>
      </c>
      <c r="Q23" s="300">
        <v>3548</v>
      </c>
      <c r="R23" s="300">
        <v>778</v>
      </c>
      <c r="S23" s="300">
        <v>718</v>
      </c>
      <c r="T23" s="300">
        <v>3136</v>
      </c>
      <c r="U23" s="300">
        <v>1403</v>
      </c>
      <c r="V23" s="300">
        <v>719</v>
      </c>
      <c r="W23" s="300">
        <v>709</v>
      </c>
      <c r="X23" s="300">
        <v>700</v>
      </c>
      <c r="Y23" s="300">
        <v>3851</v>
      </c>
      <c r="Z23" s="300">
        <v>64677032.960299999</v>
      </c>
      <c r="AA23" s="300">
        <v>240</v>
      </c>
      <c r="AB23" s="279">
        <v>449</v>
      </c>
      <c r="AC23" s="300">
        <v>515</v>
      </c>
      <c r="AD23" s="300">
        <v>42</v>
      </c>
      <c r="AE23" s="300">
        <v>114</v>
      </c>
      <c r="AF23" s="300">
        <v>133</v>
      </c>
      <c r="AG23" s="300">
        <v>12</v>
      </c>
      <c r="AH23" s="300">
        <v>12</v>
      </c>
      <c r="AI23" s="300"/>
      <c r="AJ23" s="300"/>
      <c r="AK23" s="300"/>
      <c r="AL23" s="300"/>
      <c r="AM23" s="300"/>
      <c r="AN23" s="300"/>
      <c r="AO23" s="300"/>
      <c r="AP23" s="300"/>
      <c r="AQ23" s="300"/>
      <c r="AR23" s="300"/>
      <c r="AS23" s="300"/>
      <c r="AT23" s="300"/>
      <c r="AU23" s="300"/>
      <c r="AV23" s="300"/>
      <c r="AW23" s="300"/>
      <c r="AX23" s="300"/>
      <c r="AY23" s="300"/>
    </row>
    <row r="24" spans="1:51">
      <c r="A24" s="298" t="s">
        <v>49</v>
      </c>
      <c r="B24" s="299">
        <v>23</v>
      </c>
      <c r="C24" s="298" t="s">
        <v>74</v>
      </c>
      <c r="D24" s="298" t="s">
        <v>19</v>
      </c>
      <c r="E24" s="299" t="s">
        <v>324</v>
      </c>
      <c r="F24" s="298">
        <v>2022</v>
      </c>
      <c r="G24" s="300">
        <v>9930</v>
      </c>
      <c r="H24" s="300">
        <v>3702</v>
      </c>
      <c r="I24" s="300">
        <v>6228</v>
      </c>
      <c r="J24" s="300">
        <v>29608</v>
      </c>
      <c r="K24" s="279">
        <v>119</v>
      </c>
      <c r="L24" s="279">
        <v>18</v>
      </c>
      <c r="M24" s="279">
        <v>30</v>
      </c>
      <c r="N24" s="300">
        <v>8995</v>
      </c>
      <c r="O24" s="300">
        <v>90341</v>
      </c>
      <c r="P24" s="300">
        <v>4102</v>
      </c>
      <c r="Q24" s="300">
        <v>9384</v>
      </c>
      <c r="R24" s="300">
        <v>2370</v>
      </c>
      <c r="S24" s="300">
        <v>637</v>
      </c>
      <c r="T24" s="300">
        <v>8866</v>
      </c>
      <c r="U24" s="300">
        <v>3089</v>
      </c>
      <c r="V24" s="300">
        <v>2184</v>
      </c>
      <c r="W24" s="300">
        <v>2052</v>
      </c>
      <c r="X24" s="300">
        <v>1813</v>
      </c>
      <c r="Y24" s="300">
        <v>9930</v>
      </c>
      <c r="Z24" s="300">
        <v>119822061.78945583</v>
      </c>
      <c r="AA24" s="300">
        <v>427</v>
      </c>
      <c r="AB24" s="279">
        <v>771</v>
      </c>
      <c r="AC24" s="300">
        <v>10968</v>
      </c>
      <c r="AD24" s="300">
        <v>140</v>
      </c>
      <c r="AE24" s="300">
        <v>23</v>
      </c>
      <c r="AF24" s="300">
        <v>78</v>
      </c>
      <c r="AG24" s="300">
        <v>518</v>
      </c>
      <c r="AH24" s="300">
        <v>225</v>
      </c>
      <c r="AI24" s="300"/>
      <c r="AJ24" s="300"/>
      <c r="AK24" s="300"/>
      <c r="AL24" s="300"/>
      <c r="AM24" s="300"/>
      <c r="AN24" s="300"/>
      <c r="AO24" s="300"/>
      <c r="AP24" s="300"/>
      <c r="AQ24" s="300"/>
      <c r="AR24" s="300"/>
      <c r="AS24" s="300"/>
      <c r="AT24" s="300"/>
      <c r="AU24" s="300"/>
      <c r="AV24" s="300"/>
      <c r="AW24" s="300"/>
      <c r="AX24" s="300"/>
      <c r="AY24" s="300"/>
    </row>
    <row r="25" spans="1:51">
      <c r="A25" s="298" t="s">
        <v>49</v>
      </c>
      <c r="B25" s="299">
        <v>24</v>
      </c>
      <c r="C25" s="298" t="s">
        <v>75</v>
      </c>
      <c r="D25" s="298" t="s">
        <v>20</v>
      </c>
      <c r="E25" s="299" t="s">
        <v>324</v>
      </c>
      <c r="F25" s="298">
        <v>2022</v>
      </c>
      <c r="G25" s="300">
        <v>5213</v>
      </c>
      <c r="H25" s="300">
        <v>2177</v>
      </c>
      <c r="I25" s="300">
        <v>3036</v>
      </c>
      <c r="J25" s="300">
        <v>45521</v>
      </c>
      <c r="K25" s="279">
        <v>98</v>
      </c>
      <c r="L25" s="279">
        <v>26</v>
      </c>
      <c r="M25" s="279">
        <v>25</v>
      </c>
      <c r="N25" s="300">
        <v>4614</v>
      </c>
      <c r="O25" s="300">
        <v>154479</v>
      </c>
      <c r="P25" s="300">
        <v>2630</v>
      </c>
      <c r="Q25" s="300">
        <v>4786</v>
      </c>
      <c r="R25" s="300">
        <v>1216</v>
      </c>
      <c r="S25" s="300">
        <v>1029</v>
      </c>
      <c r="T25" s="300">
        <v>4407</v>
      </c>
      <c r="U25" s="300">
        <v>1919</v>
      </c>
      <c r="V25" s="300">
        <v>1135</v>
      </c>
      <c r="W25" s="300">
        <v>1099</v>
      </c>
      <c r="X25" s="300">
        <v>1033</v>
      </c>
      <c r="Y25" s="300">
        <v>5213</v>
      </c>
      <c r="Z25" s="300">
        <v>105227303.42341058</v>
      </c>
      <c r="AA25" s="300">
        <v>248</v>
      </c>
      <c r="AB25" s="279">
        <v>427</v>
      </c>
      <c r="AC25" s="300">
        <v>1526</v>
      </c>
      <c r="AD25" s="300">
        <v>460</v>
      </c>
      <c r="AE25" s="300">
        <v>268</v>
      </c>
      <c r="AF25" s="300">
        <v>311</v>
      </c>
      <c r="AG25" s="300">
        <v>93</v>
      </c>
      <c r="AH25" s="300">
        <v>93</v>
      </c>
      <c r="AI25" s="300"/>
      <c r="AJ25" s="300"/>
      <c r="AK25" s="300"/>
      <c r="AL25" s="300"/>
      <c r="AM25" s="300"/>
      <c r="AN25" s="300"/>
      <c r="AO25" s="300"/>
      <c r="AP25" s="300"/>
      <c r="AQ25" s="300"/>
      <c r="AR25" s="300"/>
      <c r="AS25" s="300"/>
      <c r="AT25" s="300"/>
      <c r="AU25" s="300"/>
      <c r="AV25" s="300"/>
      <c r="AW25" s="300"/>
      <c r="AX25" s="300"/>
      <c r="AY25" s="300"/>
    </row>
    <row r="26" spans="1:51">
      <c r="A26" s="298" t="s">
        <v>49</v>
      </c>
      <c r="B26" s="299">
        <v>25</v>
      </c>
      <c r="C26" s="298" t="s">
        <v>76</v>
      </c>
      <c r="D26" s="298" t="s">
        <v>21</v>
      </c>
      <c r="E26" s="299" t="s">
        <v>324</v>
      </c>
      <c r="F26" s="298">
        <v>2022</v>
      </c>
      <c r="G26" s="300">
        <v>8555</v>
      </c>
      <c r="H26" s="300">
        <v>3551</v>
      </c>
      <c r="I26" s="300">
        <v>5004</v>
      </c>
      <c r="J26" s="300">
        <v>48530</v>
      </c>
      <c r="K26" s="279">
        <v>236</v>
      </c>
      <c r="L26" s="279">
        <v>72</v>
      </c>
      <c r="M26" s="279">
        <v>40</v>
      </c>
      <c r="N26" s="300">
        <v>7830</v>
      </c>
      <c r="O26" s="300">
        <v>164630</v>
      </c>
      <c r="P26" s="300">
        <v>3878</v>
      </c>
      <c r="Q26" s="300">
        <v>7922</v>
      </c>
      <c r="R26" s="300">
        <v>2212</v>
      </c>
      <c r="S26" s="300">
        <v>1222</v>
      </c>
      <c r="T26" s="300">
        <v>7654</v>
      </c>
      <c r="U26" s="300">
        <v>3156</v>
      </c>
      <c r="V26" s="300">
        <v>2022</v>
      </c>
      <c r="W26" s="300">
        <v>1961</v>
      </c>
      <c r="X26" s="300">
        <v>1954</v>
      </c>
      <c r="Y26" s="300">
        <v>8555</v>
      </c>
      <c r="Z26" s="300">
        <v>274651990.0409115</v>
      </c>
      <c r="AA26" s="300">
        <v>487</v>
      </c>
      <c r="AB26" s="279">
        <v>1117</v>
      </c>
      <c r="AC26" s="300">
        <v>2417</v>
      </c>
      <c r="AD26" s="300">
        <v>129</v>
      </c>
      <c r="AE26" s="300">
        <v>35</v>
      </c>
      <c r="AF26" s="300">
        <v>76</v>
      </c>
      <c r="AG26" s="300">
        <v>0</v>
      </c>
      <c r="AH26" s="300">
        <v>0</v>
      </c>
      <c r="AI26" s="300"/>
      <c r="AJ26" s="300"/>
      <c r="AK26" s="300"/>
      <c r="AL26" s="300"/>
      <c r="AM26" s="300"/>
      <c r="AN26" s="300"/>
      <c r="AO26" s="300"/>
      <c r="AP26" s="300"/>
      <c r="AQ26" s="300"/>
      <c r="AR26" s="300"/>
      <c r="AS26" s="300"/>
      <c r="AT26" s="300"/>
      <c r="AU26" s="300"/>
      <c r="AV26" s="300"/>
      <c r="AW26" s="300"/>
      <c r="AX26" s="300"/>
      <c r="AY26" s="300"/>
    </row>
    <row r="27" spans="1:51">
      <c r="A27" s="298" t="s">
        <v>49</v>
      </c>
      <c r="B27" s="299">
        <v>26</v>
      </c>
      <c r="C27" s="298" t="s">
        <v>77</v>
      </c>
      <c r="D27" s="298" t="s">
        <v>22</v>
      </c>
      <c r="E27" s="299" t="s">
        <v>324</v>
      </c>
      <c r="F27" s="298">
        <v>2022</v>
      </c>
      <c r="G27" s="300">
        <v>16098</v>
      </c>
      <c r="H27" s="300">
        <v>6615</v>
      </c>
      <c r="I27" s="300">
        <v>9483</v>
      </c>
      <c r="J27" s="300">
        <v>50417</v>
      </c>
      <c r="K27" s="279">
        <v>266</v>
      </c>
      <c r="L27" s="279">
        <v>49</v>
      </c>
      <c r="M27" s="279">
        <v>45</v>
      </c>
      <c r="N27" s="300">
        <v>14681</v>
      </c>
      <c r="O27" s="300">
        <v>160534</v>
      </c>
      <c r="P27" s="300">
        <v>6681</v>
      </c>
      <c r="Q27" s="300">
        <v>15407</v>
      </c>
      <c r="R27" s="300">
        <v>3517</v>
      </c>
      <c r="S27" s="300">
        <v>3604</v>
      </c>
      <c r="T27" s="300">
        <v>14203</v>
      </c>
      <c r="U27" s="300">
        <v>6159</v>
      </c>
      <c r="V27" s="300">
        <v>3190</v>
      </c>
      <c r="W27" s="300">
        <v>2909</v>
      </c>
      <c r="X27" s="300">
        <v>2146</v>
      </c>
      <c r="Y27" s="300">
        <v>16098</v>
      </c>
      <c r="Z27" s="300">
        <v>267112922.48971292</v>
      </c>
      <c r="AA27" s="300">
        <v>587</v>
      </c>
      <c r="AB27" s="279">
        <v>857</v>
      </c>
      <c r="AC27" s="300">
        <v>682</v>
      </c>
      <c r="AD27" s="300">
        <v>999</v>
      </c>
      <c r="AE27" s="300">
        <v>58</v>
      </c>
      <c r="AF27" s="300">
        <v>65</v>
      </c>
      <c r="AG27" s="300">
        <v>37</v>
      </c>
      <c r="AH27" s="300">
        <v>37</v>
      </c>
      <c r="AI27" s="300"/>
      <c r="AJ27" s="300"/>
      <c r="AK27" s="300"/>
      <c r="AL27" s="300"/>
      <c r="AM27" s="300"/>
      <c r="AN27" s="300"/>
      <c r="AO27" s="300"/>
      <c r="AP27" s="300"/>
      <c r="AQ27" s="300"/>
      <c r="AR27" s="300"/>
      <c r="AS27" s="300"/>
      <c r="AT27" s="300"/>
      <c r="AU27" s="300"/>
      <c r="AV27" s="300"/>
      <c r="AW27" s="300"/>
      <c r="AX27" s="300"/>
      <c r="AY27" s="300"/>
    </row>
    <row r="28" spans="1:51">
      <c r="A28" s="298" t="s">
        <v>49</v>
      </c>
      <c r="B28" s="299">
        <v>27</v>
      </c>
      <c r="C28" s="298" t="s">
        <v>78</v>
      </c>
      <c r="D28" s="298" t="s">
        <v>23</v>
      </c>
      <c r="E28" s="299" t="s">
        <v>324</v>
      </c>
      <c r="F28" s="298">
        <v>2022</v>
      </c>
      <c r="G28" s="300">
        <v>5842</v>
      </c>
      <c r="H28" s="300">
        <v>2333</v>
      </c>
      <c r="I28" s="300">
        <v>3509</v>
      </c>
      <c r="J28" s="300">
        <v>44150</v>
      </c>
      <c r="K28" s="279">
        <v>90</v>
      </c>
      <c r="L28" s="279">
        <v>27</v>
      </c>
      <c r="M28" s="279">
        <v>21</v>
      </c>
      <c r="N28" s="300">
        <v>5392</v>
      </c>
      <c r="O28" s="300">
        <v>135391</v>
      </c>
      <c r="P28" s="300">
        <v>2335</v>
      </c>
      <c r="Q28" s="300">
        <v>5431</v>
      </c>
      <c r="R28" s="300">
        <v>1547</v>
      </c>
      <c r="S28" s="300">
        <v>357</v>
      </c>
      <c r="T28" s="300">
        <v>5224</v>
      </c>
      <c r="U28" s="300">
        <v>2129</v>
      </c>
      <c r="V28" s="300">
        <v>1462</v>
      </c>
      <c r="W28" s="300">
        <v>1356</v>
      </c>
      <c r="X28" s="300">
        <v>1326</v>
      </c>
      <c r="Y28" s="300">
        <v>5842</v>
      </c>
      <c r="Z28" s="300">
        <v>135885647.80048683</v>
      </c>
      <c r="AA28" s="300">
        <v>306</v>
      </c>
      <c r="AB28" s="279">
        <v>484</v>
      </c>
      <c r="AC28" s="300">
        <v>118</v>
      </c>
      <c r="AD28" s="300">
        <v>38</v>
      </c>
      <c r="AE28" s="300">
        <v>50</v>
      </c>
      <c r="AF28" s="300">
        <v>54</v>
      </c>
      <c r="AG28" s="300">
        <v>81</v>
      </c>
      <c r="AH28" s="300">
        <v>81</v>
      </c>
      <c r="AI28" s="300"/>
      <c r="AJ28" s="300"/>
      <c r="AK28" s="300"/>
      <c r="AL28" s="300"/>
      <c r="AM28" s="300"/>
      <c r="AN28" s="300"/>
      <c r="AO28" s="300"/>
      <c r="AP28" s="300"/>
      <c r="AQ28" s="300"/>
      <c r="AR28" s="300"/>
      <c r="AS28" s="300"/>
      <c r="AT28" s="300"/>
      <c r="AU28" s="300"/>
      <c r="AV28" s="300"/>
      <c r="AW28" s="300"/>
      <c r="AX28" s="300"/>
      <c r="AY28" s="300"/>
    </row>
    <row r="29" spans="1:51">
      <c r="A29" s="298" t="s">
        <v>49</v>
      </c>
      <c r="B29" s="299">
        <v>28</v>
      </c>
      <c r="C29" s="298" t="s">
        <v>79</v>
      </c>
      <c r="D29" s="298" t="s">
        <v>24</v>
      </c>
      <c r="E29" s="299" t="s">
        <v>324</v>
      </c>
      <c r="F29" s="298">
        <v>2022</v>
      </c>
      <c r="G29" s="300">
        <v>7970</v>
      </c>
      <c r="H29" s="300">
        <v>3483</v>
      </c>
      <c r="I29" s="300">
        <v>4487</v>
      </c>
      <c r="J29" s="300">
        <v>57270</v>
      </c>
      <c r="K29" s="279">
        <v>164</v>
      </c>
      <c r="L29" s="279">
        <v>30</v>
      </c>
      <c r="M29" s="279">
        <v>42</v>
      </c>
      <c r="N29" s="300">
        <v>7387</v>
      </c>
      <c r="O29" s="300">
        <v>188540</v>
      </c>
      <c r="P29" s="300">
        <v>3796</v>
      </c>
      <c r="Q29" s="300">
        <v>6916</v>
      </c>
      <c r="R29" s="300">
        <v>1922</v>
      </c>
      <c r="S29" s="300">
        <v>863</v>
      </c>
      <c r="T29" s="300">
        <v>6748</v>
      </c>
      <c r="U29" s="300">
        <v>3065</v>
      </c>
      <c r="V29" s="300">
        <v>1801</v>
      </c>
      <c r="W29" s="300">
        <v>1780</v>
      </c>
      <c r="X29" s="300">
        <v>1747</v>
      </c>
      <c r="Y29" s="300">
        <v>7970</v>
      </c>
      <c r="Z29" s="300">
        <v>208190697.59789068</v>
      </c>
      <c r="AA29" s="300">
        <v>357</v>
      </c>
      <c r="AB29" s="279">
        <v>1077</v>
      </c>
      <c r="AC29" s="300">
        <v>3269</v>
      </c>
      <c r="AD29" s="300">
        <v>179</v>
      </c>
      <c r="AE29" s="300">
        <v>65</v>
      </c>
      <c r="AF29" s="300">
        <v>65</v>
      </c>
      <c r="AG29" s="300">
        <v>0</v>
      </c>
      <c r="AH29" s="300">
        <v>0</v>
      </c>
      <c r="AI29" s="300">
        <v>45</v>
      </c>
      <c r="AJ29" s="300"/>
      <c r="AK29" s="300"/>
      <c r="AL29" s="300"/>
      <c r="AM29" s="300"/>
      <c r="AN29" s="300"/>
      <c r="AO29" s="300"/>
      <c r="AP29" s="300"/>
      <c r="AQ29" s="300"/>
      <c r="AR29" s="300"/>
      <c r="AS29" s="300"/>
      <c r="AT29" s="300"/>
      <c r="AU29" s="300"/>
      <c r="AV29" s="300"/>
      <c r="AW29" s="300"/>
      <c r="AX29" s="300"/>
      <c r="AY29" s="300"/>
    </row>
    <row r="30" spans="1:51">
      <c r="A30" s="298" t="s">
        <v>49</v>
      </c>
      <c r="B30" s="299">
        <v>29</v>
      </c>
      <c r="C30" s="298" t="s">
        <v>80</v>
      </c>
      <c r="D30" s="298" t="s">
        <v>25</v>
      </c>
      <c r="E30" s="299" t="s">
        <v>324</v>
      </c>
      <c r="F30" s="298">
        <v>2022</v>
      </c>
      <c r="G30" s="300">
        <v>3315</v>
      </c>
      <c r="H30" s="300">
        <v>1257</v>
      </c>
      <c r="I30" s="300">
        <v>2058</v>
      </c>
      <c r="J30" s="300">
        <v>23951</v>
      </c>
      <c r="K30" s="279">
        <v>49</v>
      </c>
      <c r="L30" s="279">
        <v>18</v>
      </c>
      <c r="M30" s="279">
        <v>15</v>
      </c>
      <c r="N30" s="300">
        <v>3100</v>
      </c>
      <c r="O30" s="300">
        <v>74712</v>
      </c>
      <c r="P30" s="300">
        <v>1391</v>
      </c>
      <c r="Q30" s="300">
        <v>3146</v>
      </c>
      <c r="R30" s="300">
        <v>855</v>
      </c>
      <c r="S30" s="300">
        <v>369</v>
      </c>
      <c r="T30" s="300">
        <v>3069</v>
      </c>
      <c r="U30" s="300">
        <v>1171</v>
      </c>
      <c r="V30" s="300">
        <v>791</v>
      </c>
      <c r="W30" s="300">
        <v>765</v>
      </c>
      <c r="X30" s="300">
        <v>742</v>
      </c>
      <c r="Y30" s="300">
        <v>3315</v>
      </c>
      <c r="Z30" s="300">
        <v>52799734.760300003</v>
      </c>
      <c r="AA30" s="300">
        <v>175</v>
      </c>
      <c r="AB30" s="279">
        <v>455</v>
      </c>
      <c r="AC30" s="300">
        <v>346</v>
      </c>
      <c r="AD30" s="300">
        <v>18</v>
      </c>
      <c r="AE30" s="300">
        <v>6</v>
      </c>
      <c r="AF30" s="300">
        <v>6</v>
      </c>
      <c r="AG30" s="300">
        <v>0</v>
      </c>
      <c r="AH30" s="300">
        <v>0</v>
      </c>
      <c r="AI30" s="300"/>
      <c r="AJ30" s="300"/>
      <c r="AK30" s="300"/>
      <c r="AL30" s="300"/>
      <c r="AM30" s="300"/>
      <c r="AN30" s="300"/>
      <c r="AO30" s="300"/>
      <c r="AP30" s="300"/>
      <c r="AQ30" s="300"/>
      <c r="AR30" s="300"/>
      <c r="AS30" s="300"/>
      <c r="AT30" s="300"/>
      <c r="AU30" s="300"/>
      <c r="AV30" s="300"/>
      <c r="AW30" s="300"/>
      <c r="AX30" s="300"/>
      <c r="AY30" s="300"/>
    </row>
    <row r="31" spans="1:51">
      <c r="A31" s="298" t="s">
        <v>49</v>
      </c>
      <c r="B31" s="299">
        <v>30</v>
      </c>
      <c r="C31" s="298" t="s">
        <v>81</v>
      </c>
      <c r="D31" s="298" t="s">
        <v>53</v>
      </c>
      <c r="E31" s="299" t="s">
        <v>324</v>
      </c>
      <c r="F31" s="298">
        <v>2022</v>
      </c>
      <c r="G31" s="300">
        <v>12512</v>
      </c>
      <c r="H31" s="300">
        <v>4855</v>
      </c>
      <c r="I31" s="300">
        <v>7657</v>
      </c>
      <c r="J31" s="300">
        <v>119336</v>
      </c>
      <c r="K31" s="279">
        <v>183</v>
      </c>
      <c r="L31" s="279">
        <v>44</v>
      </c>
      <c r="M31" s="279">
        <v>75</v>
      </c>
      <c r="N31" s="300">
        <v>11686</v>
      </c>
      <c r="O31" s="300">
        <v>430653</v>
      </c>
      <c r="P31" s="300">
        <v>6193</v>
      </c>
      <c r="Q31" s="300">
        <v>11461</v>
      </c>
      <c r="R31" s="300">
        <v>2953</v>
      </c>
      <c r="S31" s="300">
        <v>1209</v>
      </c>
      <c r="T31" s="300">
        <v>11031</v>
      </c>
      <c r="U31" s="300">
        <v>3739</v>
      </c>
      <c r="V31" s="300">
        <v>2847</v>
      </c>
      <c r="W31" s="300">
        <v>2432</v>
      </c>
      <c r="X31" s="300">
        <v>2178</v>
      </c>
      <c r="Y31" s="300">
        <v>12512</v>
      </c>
      <c r="Z31" s="300">
        <v>281758962.55795401</v>
      </c>
      <c r="AA31" s="300">
        <v>592</v>
      </c>
      <c r="AB31" s="279">
        <v>1543</v>
      </c>
      <c r="AC31" s="300">
        <v>6557</v>
      </c>
      <c r="AD31" s="300">
        <v>70</v>
      </c>
      <c r="AE31" s="300">
        <v>42</v>
      </c>
      <c r="AF31" s="300">
        <v>324</v>
      </c>
      <c r="AG31" s="300">
        <v>1429</v>
      </c>
      <c r="AH31" s="300">
        <v>708</v>
      </c>
      <c r="AI31" s="300">
        <v>418</v>
      </c>
      <c r="AJ31" s="300"/>
      <c r="AK31" s="300"/>
      <c r="AL31" s="300"/>
      <c r="AM31" s="300"/>
      <c r="AN31" s="300"/>
      <c r="AO31" s="300"/>
      <c r="AP31" s="300"/>
      <c r="AQ31" s="300"/>
      <c r="AR31" s="300"/>
      <c r="AS31" s="300"/>
      <c r="AT31" s="300"/>
      <c r="AU31" s="300"/>
      <c r="AV31" s="300"/>
      <c r="AW31" s="300"/>
      <c r="AX31" s="300"/>
      <c r="AY31" s="300"/>
    </row>
    <row r="32" spans="1:51">
      <c r="A32" s="298" t="s">
        <v>49</v>
      </c>
      <c r="B32" s="299">
        <v>31</v>
      </c>
      <c r="C32" s="298" t="s">
        <v>82</v>
      </c>
      <c r="D32" s="298" t="s">
        <v>26</v>
      </c>
      <c r="E32" s="299" t="s">
        <v>324</v>
      </c>
      <c r="F32" s="298">
        <v>2022</v>
      </c>
      <c r="G32" s="300">
        <v>5523</v>
      </c>
      <c r="H32" s="300">
        <v>2205</v>
      </c>
      <c r="I32" s="300">
        <v>3318</v>
      </c>
      <c r="J32" s="300">
        <v>35950</v>
      </c>
      <c r="K32" s="279">
        <v>69</v>
      </c>
      <c r="L32" s="279">
        <v>14</v>
      </c>
      <c r="M32" s="279">
        <v>18</v>
      </c>
      <c r="N32" s="300">
        <v>4453</v>
      </c>
      <c r="O32" s="300">
        <v>113782</v>
      </c>
      <c r="P32" s="300">
        <v>2396</v>
      </c>
      <c r="Q32" s="300">
        <v>5289</v>
      </c>
      <c r="R32" s="300">
        <v>1217</v>
      </c>
      <c r="S32" s="300">
        <v>1027</v>
      </c>
      <c r="T32" s="300">
        <v>4771</v>
      </c>
      <c r="U32" s="300">
        <v>1994</v>
      </c>
      <c r="V32" s="300">
        <v>1053</v>
      </c>
      <c r="W32" s="300">
        <v>929</v>
      </c>
      <c r="X32" s="300">
        <v>734</v>
      </c>
      <c r="Y32" s="300">
        <v>5523</v>
      </c>
      <c r="Z32" s="300">
        <v>121144963.89596583</v>
      </c>
      <c r="AA32" s="300">
        <v>259</v>
      </c>
      <c r="AB32" s="279">
        <v>484</v>
      </c>
      <c r="AC32" s="300">
        <v>4955</v>
      </c>
      <c r="AD32" s="300">
        <v>224</v>
      </c>
      <c r="AE32" s="300">
        <v>171</v>
      </c>
      <c r="AF32" s="300">
        <v>173</v>
      </c>
      <c r="AG32" s="300">
        <v>623</v>
      </c>
      <c r="AH32" s="300">
        <v>516</v>
      </c>
      <c r="AI32" s="300"/>
      <c r="AJ32" s="300"/>
      <c r="AK32" s="300"/>
      <c r="AL32" s="300"/>
      <c r="AM32" s="300"/>
      <c r="AN32" s="300"/>
      <c r="AO32" s="300"/>
      <c r="AP32" s="300"/>
      <c r="AQ32" s="300"/>
      <c r="AR32" s="300"/>
      <c r="AS32" s="300"/>
      <c r="AT32" s="300"/>
      <c r="AU32" s="300"/>
      <c r="AV32" s="300"/>
      <c r="AW32" s="300"/>
      <c r="AX32" s="300"/>
      <c r="AY32" s="300"/>
    </row>
    <row r="33" spans="1:54">
      <c r="A33" s="298" t="s">
        <v>49</v>
      </c>
      <c r="B33" s="299">
        <v>32</v>
      </c>
      <c r="C33" s="298" t="s">
        <v>83</v>
      </c>
      <c r="D33" s="298" t="s">
        <v>27</v>
      </c>
      <c r="E33" s="299" t="s">
        <v>324</v>
      </c>
      <c r="F33" s="298">
        <v>2022</v>
      </c>
      <c r="G33" s="300">
        <v>1477</v>
      </c>
      <c r="H33" s="300">
        <v>661</v>
      </c>
      <c r="I33" s="300">
        <v>816</v>
      </c>
      <c r="J33" s="300">
        <v>27483</v>
      </c>
      <c r="K33" s="279">
        <v>60</v>
      </c>
      <c r="L33" s="279">
        <v>21</v>
      </c>
      <c r="M33" s="279">
        <v>7</v>
      </c>
      <c r="N33" s="300">
        <v>1193</v>
      </c>
      <c r="O33" s="300">
        <v>91330</v>
      </c>
      <c r="P33" s="300">
        <v>777</v>
      </c>
      <c r="Q33" s="300">
        <v>1419</v>
      </c>
      <c r="R33" s="300">
        <v>223</v>
      </c>
      <c r="S33" s="300">
        <v>525</v>
      </c>
      <c r="T33" s="300">
        <v>1238</v>
      </c>
      <c r="U33" s="300">
        <v>610</v>
      </c>
      <c r="V33" s="300">
        <v>181</v>
      </c>
      <c r="W33" s="300">
        <v>223</v>
      </c>
      <c r="X33" s="300">
        <v>181</v>
      </c>
      <c r="Y33" s="300">
        <v>1477</v>
      </c>
      <c r="Z33" s="300">
        <v>46764753.776171833</v>
      </c>
      <c r="AA33" s="300">
        <v>81</v>
      </c>
      <c r="AB33" s="279">
        <v>197</v>
      </c>
      <c r="AC33" s="300">
        <v>365</v>
      </c>
      <c r="AD33" s="300">
        <v>185</v>
      </c>
      <c r="AE33" s="300">
        <v>24</v>
      </c>
      <c r="AF33" s="300">
        <v>26</v>
      </c>
      <c r="AG33" s="300">
        <v>3</v>
      </c>
      <c r="AH33" s="300">
        <v>3</v>
      </c>
      <c r="AI33" s="300"/>
      <c r="AJ33" s="300"/>
      <c r="AK33" s="300"/>
      <c r="AL33" s="300"/>
      <c r="AM33" s="300"/>
      <c r="AN33" s="300"/>
      <c r="AO33" s="300"/>
      <c r="AP33" s="300"/>
      <c r="AQ33" s="300"/>
      <c r="AR33" s="300"/>
      <c r="AS33" s="300"/>
      <c r="AT33" s="300"/>
      <c r="AU33" s="300"/>
      <c r="AV33" s="300"/>
      <c r="AW33" s="300"/>
      <c r="AX33" s="300"/>
      <c r="AY33" s="300"/>
    </row>
    <row r="34" spans="1:54">
      <c r="A34" s="298" t="s">
        <v>124</v>
      </c>
      <c r="B34" s="299">
        <v>33</v>
      </c>
      <c r="C34" s="298" t="s">
        <v>125</v>
      </c>
      <c r="D34" s="298" t="s">
        <v>40</v>
      </c>
      <c r="E34" s="299" t="s">
        <v>324</v>
      </c>
      <c r="F34" s="298">
        <v>2022</v>
      </c>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v>1204</v>
      </c>
      <c r="AH34" s="300">
        <v>1201</v>
      </c>
      <c r="AI34" s="300"/>
      <c r="AJ34" s="300"/>
      <c r="AK34" s="300"/>
      <c r="AL34" s="300"/>
      <c r="AM34" s="300"/>
      <c r="AN34" s="300"/>
      <c r="AO34" s="300"/>
      <c r="AP34" s="300"/>
      <c r="AQ34" s="300"/>
      <c r="AR34" s="300"/>
      <c r="AS34" s="300"/>
      <c r="AT34" s="300"/>
      <c r="AU34" s="300"/>
      <c r="AV34" s="300"/>
      <c r="AW34" s="300"/>
      <c r="AX34" s="300"/>
      <c r="AY34" s="300"/>
    </row>
    <row r="35" spans="1:54">
      <c r="A35" s="298" t="s">
        <v>50</v>
      </c>
      <c r="B35" s="299">
        <v>0</v>
      </c>
      <c r="C35" s="298" t="s">
        <v>123</v>
      </c>
      <c r="D35" s="298" t="s">
        <v>39</v>
      </c>
      <c r="E35" s="299" t="s">
        <v>324</v>
      </c>
      <c r="F35" s="298">
        <v>2022</v>
      </c>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v>4839</v>
      </c>
      <c r="AD35" s="300"/>
      <c r="AE35" s="300"/>
      <c r="AF35" s="300"/>
      <c r="AG35" s="300">
        <v>2286</v>
      </c>
      <c r="AH35" s="300">
        <v>2238</v>
      </c>
      <c r="AI35" s="300"/>
      <c r="AJ35" s="300">
        <v>504351.18284999998</v>
      </c>
      <c r="AK35" s="300">
        <v>1716208.933</v>
      </c>
      <c r="AL35" s="300">
        <v>1716208.933</v>
      </c>
      <c r="AM35" s="300">
        <v>1725174.2520000001</v>
      </c>
      <c r="AN35" s="300">
        <v>1680174.2520000001</v>
      </c>
      <c r="AO35" s="300">
        <v>1680174.2520000001</v>
      </c>
      <c r="AP35" s="300">
        <v>1716208.933</v>
      </c>
      <c r="AQ35" s="300">
        <v>1725174.2520000001</v>
      </c>
      <c r="AR35" s="300">
        <v>0</v>
      </c>
      <c r="AS35" s="300">
        <v>0</v>
      </c>
      <c r="AT35" s="300">
        <v>36034.680999999997</v>
      </c>
      <c r="AU35" s="300">
        <v>1716208.933</v>
      </c>
      <c r="AV35" s="300">
        <v>39503.966999999997</v>
      </c>
      <c r="AW35" s="300">
        <v>45000</v>
      </c>
      <c r="AX35" s="300"/>
      <c r="AY35" s="300"/>
    </row>
    <row r="36" spans="1:54">
      <c r="A36" s="283" t="s">
        <v>49</v>
      </c>
      <c r="B36" s="284">
        <v>1</v>
      </c>
      <c r="C36" s="283" t="s">
        <v>54</v>
      </c>
      <c r="D36" s="283" t="s">
        <v>1</v>
      </c>
      <c r="E36" s="284" t="s">
        <v>314</v>
      </c>
      <c r="F36" s="283">
        <v>2021</v>
      </c>
      <c r="G36" s="279">
        <v>4237</v>
      </c>
      <c r="H36" s="279">
        <v>1578</v>
      </c>
      <c r="I36" s="279">
        <v>2659</v>
      </c>
      <c r="J36" s="279">
        <v>23123</v>
      </c>
      <c r="K36" s="279">
        <v>83</v>
      </c>
      <c r="L36" s="279">
        <v>19</v>
      </c>
      <c r="M36" s="279">
        <v>22</v>
      </c>
      <c r="N36" s="279">
        <v>3913</v>
      </c>
      <c r="O36" s="279">
        <v>80810</v>
      </c>
      <c r="P36" s="279">
        <v>2543</v>
      </c>
      <c r="Q36" s="279">
        <v>4531</v>
      </c>
      <c r="R36" s="279">
        <v>1120</v>
      </c>
      <c r="S36" s="279">
        <v>755</v>
      </c>
      <c r="T36" s="279">
        <v>3937</v>
      </c>
      <c r="U36" s="279">
        <v>1689</v>
      </c>
      <c r="V36" s="279">
        <v>1037</v>
      </c>
      <c r="W36" s="279">
        <v>1067</v>
      </c>
      <c r="X36" s="279">
        <v>993</v>
      </c>
      <c r="Y36" s="279">
        <v>4237</v>
      </c>
      <c r="Z36" s="279">
        <v>82825222</v>
      </c>
      <c r="AA36" s="279">
        <v>272</v>
      </c>
      <c r="AB36" s="279">
        <v>429</v>
      </c>
      <c r="AC36" s="279">
        <v>1136</v>
      </c>
      <c r="AD36" s="279">
        <v>71</v>
      </c>
      <c r="AE36" s="279">
        <v>39</v>
      </c>
      <c r="AF36" s="279">
        <v>59</v>
      </c>
      <c r="AG36" s="279">
        <v>2428</v>
      </c>
      <c r="AH36" s="279">
        <v>2240</v>
      </c>
      <c r="AI36" s="279"/>
      <c r="AJ36" s="279"/>
      <c r="AK36" s="279"/>
      <c r="AL36" s="279"/>
      <c r="AM36" s="279"/>
      <c r="AN36" s="279"/>
      <c r="AO36" s="279"/>
      <c r="AP36" s="279"/>
      <c r="AQ36" s="279"/>
      <c r="AR36" s="279"/>
      <c r="AS36" s="279"/>
      <c r="AT36" s="279"/>
      <c r="AU36" s="279"/>
      <c r="AV36" s="279"/>
      <c r="AW36" s="279"/>
      <c r="AX36" s="279"/>
      <c r="AY36" s="279"/>
      <c r="AZ36" s="266"/>
      <c r="BA36" s="266"/>
      <c r="BB36" s="266"/>
    </row>
    <row r="37" spans="1:54">
      <c r="A37" s="283" t="s">
        <v>49</v>
      </c>
      <c r="B37" s="284">
        <v>2</v>
      </c>
      <c r="C37" s="283" t="s">
        <v>55</v>
      </c>
      <c r="D37" s="283" t="s">
        <v>3</v>
      </c>
      <c r="E37" s="284" t="s">
        <v>314</v>
      </c>
      <c r="F37" s="283">
        <v>2021</v>
      </c>
      <c r="G37" s="279">
        <v>8841</v>
      </c>
      <c r="H37" s="279">
        <v>3331</v>
      </c>
      <c r="I37" s="279">
        <v>5510</v>
      </c>
      <c r="J37" s="279">
        <v>59470</v>
      </c>
      <c r="K37" s="279">
        <v>125</v>
      </c>
      <c r="L37" s="279">
        <v>32</v>
      </c>
      <c r="M37" s="279">
        <v>24</v>
      </c>
      <c r="N37" s="279">
        <v>7562</v>
      </c>
      <c r="O37" s="279">
        <v>187199</v>
      </c>
      <c r="P37" s="279">
        <v>3517</v>
      </c>
      <c r="Q37" s="279">
        <v>8621</v>
      </c>
      <c r="R37" s="279">
        <v>1687</v>
      </c>
      <c r="S37" s="279">
        <v>1125</v>
      </c>
      <c r="T37" s="279">
        <v>7861</v>
      </c>
      <c r="U37" s="279">
        <v>3296</v>
      </c>
      <c r="V37" s="279">
        <v>1597</v>
      </c>
      <c r="W37" s="279">
        <v>1630</v>
      </c>
      <c r="X37" s="279">
        <v>1493</v>
      </c>
      <c r="Y37" s="279">
        <v>8841</v>
      </c>
      <c r="Z37" s="279">
        <v>151148152.66</v>
      </c>
      <c r="AA37" s="279">
        <v>384</v>
      </c>
      <c r="AB37" s="279">
        <v>749</v>
      </c>
      <c r="AC37" s="279">
        <v>6040</v>
      </c>
      <c r="AD37" s="279">
        <v>199</v>
      </c>
      <c r="AE37" s="279">
        <v>241</v>
      </c>
      <c r="AF37" s="279">
        <v>242</v>
      </c>
      <c r="AG37" s="279">
        <v>1137</v>
      </c>
      <c r="AH37" s="279">
        <v>1131</v>
      </c>
      <c r="AI37" s="279">
        <v>194</v>
      </c>
      <c r="AJ37" s="279"/>
      <c r="AK37" s="279"/>
      <c r="AL37" s="279"/>
      <c r="AM37" s="279"/>
      <c r="AN37" s="279"/>
      <c r="AO37" s="279"/>
      <c r="AP37" s="279"/>
      <c r="AQ37" s="279"/>
      <c r="AR37" s="279"/>
      <c r="AS37" s="279"/>
      <c r="AT37" s="279"/>
      <c r="AU37" s="279"/>
      <c r="AV37" s="279"/>
      <c r="AW37" s="279"/>
      <c r="AX37" s="279"/>
      <c r="AY37" s="279"/>
      <c r="AZ37" s="266"/>
      <c r="BA37" s="266"/>
      <c r="BB37" s="266"/>
    </row>
    <row r="38" spans="1:54">
      <c r="A38" s="283" t="s">
        <v>49</v>
      </c>
      <c r="B38" s="284">
        <v>3</v>
      </c>
      <c r="C38" s="283" t="s">
        <v>56</v>
      </c>
      <c r="D38" s="283" t="s">
        <v>4</v>
      </c>
      <c r="E38" s="284" t="s">
        <v>314</v>
      </c>
      <c r="F38" s="283">
        <v>2021</v>
      </c>
      <c r="G38" s="279">
        <v>1531</v>
      </c>
      <c r="H38" s="279">
        <v>709</v>
      </c>
      <c r="I38" s="279">
        <v>822</v>
      </c>
      <c r="J38" s="279">
        <v>12883</v>
      </c>
      <c r="K38" s="279">
        <v>18</v>
      </c>
      <c r="L38" s="279">
        <v>5</v>
      </c>
      <c r="M38" s="279">
        <v>1</v>
      </c>
      <c r="N38" s="279">
        <v>1314</v>
      </c>
      <c r="O38" s="279">
        <v>40506</v>
      </c>
      <c r="P38" s="279">
        <v>985</v>
      </c>
      <c r="Q38" s="279">
        <v>1505</v>
      </c>
      <c r="R38" s="279">
        <v>378</v>
      </c>
      <c r="S38" s="279">
        <v>308</v>
      </c>
      <c r="T38" s="279">
        <v>1289</v>
      </c>
      <c r="U38" s="279">
        <v>679</v>
      </c>
      <c r="V38" s="279">
        <v>368</v>
      </c>
      <c r="W38" s="279">
        <v>326</v>
      </c>
      <c r="X38" s="279">
        <v>325</v>
      </c>
      <c r="Y38" s="279">
        <v>1531</v>
      </c>
      <c r="Z38" s="279">
        <v>37802262.619999997</v>
      </c>
      <c r="AA38" s="279">
        <v>80</v>
      </c>
      <c r="AB38" s="279">
        <v>217</v>
      </c>
      <c r="AC38" s="279">
        <v>418</v>
      </c>
      <c r="AD38" s="279"/>
      <c r="AE38" s="279"/>
      <c r="AF38" s="279">
        <v>1</v>
      </c>
      <c r="AG38" s="279">
        <v>0</v>
      </c>
      <c r="AH38" s="279">
        <v>0</v>
      </c>
      <c r="AI38" s="279"/>
      <c r="AJ38" s="279"/>
      <c r="AK38" s="279"/>
      <c r="AL38" s="279"/>
      <c r="AM38" s="279"/>
      <c r="AN38" s="279"/>
      <c r="AO38" s="279"/>
      <c r="AP38" s="279"/>
      <c r="AQ38" s="279"/>
      <c r="AR38" s="279"/>
      <c r="AS38" s="279"/>
      <c r="AT38" s="279"/>
      <c r="AU38" s="279"/>
      <c r="AV38" s="279"/>
      <c r="AW38" s="279"/>
      <c r="AX38" s="279"/>
      <c r="AY38" s="279"/>
      <c r="AZ38" s="266"/>
      <c r="BA38" s="266"/>
      <c r="BB38" s="266"/>
    </row>
    <row r="39" spans="1:54">
      <c r="A39" s="283" t="s">
        <v>49</v>
      </c>
      <c r="B39" s="284">
        <v>4</v>
      </c>
      <c r="C39" s="283" t="s">
        <v>57</v>
      </c>
      <c r="D39" s="283" t="s">
        <v>5</v>
      </c>
      <c r="E39" s="284" t="s">
        <v>314</v>
      </c>
      <c r="F39" s="283">
        <v>2021</v>
      </c>
      <c r="G39" s="279">
        <v>1937</v>
      </c>
      <c r="H39" s="279">
        <v>795</v>
      </c>
      <c r="I39" s="279">
        <v>1142</v>
      </c>
      <c r="J39" s="279">
        <v>14576</v>
      </c>
      <c r="K39" s="279">
        <v>39</v>
      </c>
      <c r="L39" s="279">
        <v>9</v>
      </c>
      <c r="M39" s="279">
        <v>13</v>
      </c>
      <c r="N39" s="279">
        <v>1566</v>
      </c>
      <c r="O39" s="279">
        <v>51300</v>
      </c>
      <c r="P39" s="279">
        <v>882</v>
      </c>
      <c r="Q39" s="279">
        <v>1959</v>
      </c>
      <c r="R39" s="279">
        <v>448</v>
      </c>
      <c r="S39" s="279">
        <v>385</v>
      </c>
      <c r="T39" s="279">
        <v>1668</v>
      </c>
      <c r="U39" s="279">
        <v>798</v>
      </c>
      <c r="V39" s="279">
        <v>423</v>
      </c>
      <c r="W39" s="279">
        <v>395</v>
      </c>
      <c r="X39" s="279">
        <v>316</v>
      </c>
      <c r="Y39" s="279">
        <v>1937</v>
      </c>
      <c r="Z39" s="279">
        <v>46249327.069999993</v>
      </c>
      <c r="AA39" s="279">
        <v>121</v>
      </c>
      <c r="AB39" s="279">
        <v>331</v>
      </c>
      <c r="AC39" s="279">
        <v>2251</v>
      </c>
      <c r="AD39" s="279"/>
      <c r="AE39" s="279">
        <v>12</v>
      </c>
      <c r="AF39" s="279">
        <v>12</v>
      </c>
      <c r="AG39" s="279">
        <v>794</v>
      </c>
      <c r="AH39" s="279">
        <v>765</v>
      </c>
      <c r="AI39" s="279"/>
      <c r="AJ39" s="279"/>
      <c r="AK39" s="279"/>
      <c r="AL39" s="279"/>
      <c r="AM39" s="279"/>
      <c r="AN39" s="279"/>
      <c r="AO39" s="279"/>
      <c r="AP39" s="279"/>
      <c r="AQ39" s="279"/>
      <c r="AR39" s="279"/>
      <c r="AS39" s="279"/>
      <c r="AT39" s="279"/>
      <c r="AU39" s="279"/>
      <c r="AV39" s="279"/>
      <c r="AW39" s="279"/>
      <c r="AX39" s="279"/>
      <c r="AY39" s="279"/>
      <c r="AZ39" s="266"/>
      <c r="BA39" s="266"/>
      <c r="BB39" s="266"/>
    </row>
    <row r="40" spans="1:54">
      <c r="A40" s="283" t="s">
        <v>49</v>
      </c>
      <c r="B40" s="284">
        <v>7</v>
      </c>
      <c r="C40" s="283" t="s">
        <v>58</v>
      </c>
      <c r="D40" s="283" t="s">
        <v>6</v>
      </c>
      <c r="E40" s="284" t="s">
        <v>314</v>
      </c>
      <c r="F40" s="283">
        <v>2021</v>
      </c>
      <c r="G40" s="279">
        <v>8499</v>
      </c>
      <c r="H40" s="279">
        <v>3840</v>
      </c>
      <c r="I40" s="279">
        <v>4659</v>
      </c>
      <c r="J40" s="279">
        <v>92843</v>
      </c>
      <c r="K40" s="279">
        <v>160</v>
      </c>
      <c r="L40" s="279">
        <v>17</v>
      </c>
      <c r="M40" s="279">
        <v>51</v>
      </c>
      <c r="N40" s="279">
        <v>5951</v>
      </c>
      <c r="O40" s="279">
        <v>337886</v>
      </c>
      <c r="P40" s="279">
        <v>4649</v>
      </c>
      <c r="Q40" s="279">
        <v>7105</v>
      </c>
      <c r="R40" s="279">
        <v>1645</v>
      </c>
      <c r="S40" s="279">
        <v>1078</v>
      </c>
      <c r="T40" s="279">
        <v>6796</v>
      </c>
      <c r="U40" s="279">
        <v>2491</v>
      </c>
      <c r="V40" s="279">
        <v>1584</v>
      </c>
      <c r="W40" s="279">
        <v>1773</v>
      </c>
      <c r="X40" s="279">
        <v>1365</v>
      </c>
      <c r="Y40" s="279">
        <v>8499</v>
      </c>
      <c r="Z40" s="279">
        <v>221110958</v>
      </c>
      <c r="AA40" s="279">
        <v>430</v>
      </c>
      <c r="AB40" s="279">
        <v>714</v>
      </c>
      <c r="AC40" s="279">
        <v>3583</v>
      </c>
      <c r="AD40" s="279">
        <v>63</v>
      </c>
      <c r="AE40" s="279">
        <v>75</v>
      </c>
      <c r="AF40" s="279">
        <v>104</v>
      </c>
      <c r="AG40" s="279">
        <v>543</v>
      </c>
      <c r="AH40" s="279">
        <v>541</v>
      </c>
      <c r="AI40" s="279"/>
      <c r="AJ40" s="279"/>
      <c r="AK40" s="279"/>
      <c r="AL40" s="279"/>
      <c r="AM40" s="279"/>
      <c r="AN40" s="279"/>
      <c r="AO40" s="279"/>
      <c r="AP40" s="279"/>
      <c r="AQ40" s="279"/>
      <c r="AR40" s="279"/>
      <c r="AS40" s="279"/>
      <c r="AT40" s="279"/>
      <c r="AU40" s="279"/>
      <c r="AV40" s="279"/>
      <c r="AW40" s="279"/>
      <c r="AX40" s="279"/>
      <c r="AY40" s="279"/>
      <c r="AZ40" s="266"/>
      <c r="BA40" s="266"/>
      <c r="BB40" s="266"/>
    </row>
    <row r="41" spans="1:54">
      <c r="A41" s="283" t="s">
        <v>49</v>
      </c>
      <c r="B41" s="284">
        <v>8</v>
      </c>
      <c r="C41" s="283" t="s">
        <v>59</v>
      </c>
      <c r="D41" s="283" t="s">
        <v>7</v>
      </c>
      <c r="E41" s="284" t="s">
        <v>314</v>
      </c>
      <c r="F41" s="283">
        <v>2021</v>
      </c>
      <c r="G41" s="279">
        <v>8336</v>
      </c>
      <c r="H41" s="279">
        <v>3423</v>
      </c>
      <c r="I41" s="279">
        <v>4913</v>
      </c>
      <c r="J41" s="279">
        <v>58401</v>
      </c>
      <c r="K41" s="279">
        <v>154</v>
      </c>
      <c r="L41" s="279">
        <v>47</v>
      </c>
      <c r="M41" s="279">
        <v>32</v>
      </c>
      <c r="N41" s="279">
        <v>7575</v>
      </c>
      <c r="O41" s="279">
        <v>203269</v>
      </c>
      <c r="P41" s="279">
        <v>4110</v>
      </c>
      <c r="Q41" s="279">
        <v>8628</v>
      </c>
      <c r="R41" s="279">
        <v>1729</v>
      </c>
      <c r="S41" s="279">
        <v>1720</v>
      </c>
      <c r="T41" s="279">
        <v>7038</v>
      </c>
      <c r="U41" s="279">
        <v>3347</v>
      </c>
      <c r="V41" s="279">
        <v>1627</v>
      </c>
      <c r="W41" s="279">
        <v>1941</v>
      </c>
      <c r="X41" s="279">
        <v>1770</v>
      </c>
      <c r="Y41" s="279">
        <v>8336</v>
      </c>
      <c r="Z41" s="279">
        <v>203227754</v>
      </c>
      <c r="AA41" s="279">
        <v>562</v>
      </c>
      <c r="AB41" s="279">
        <v>983</v>
      </c>
      <c r="AC41" s="279">
        <v>2181</v>
      </c>
      <c r="AD41" s="279">
        <v>176</v>
      </c>
      <c r="AE41" s="279">
        <v>208</v>
      </c>
      <c r="AF41" s="279">
        <v>226</v>
      </c>
      <c r="AG41" s="279">
        <v>174</v>
      </c>
      <c r="AH41" s="279">
        <v>166</v>
      </c>
      <c r="AI41" s="279">
        <v>374</v>
      </c>
      <c r="AJ41" s="279"/>
      <c r="AK41" s="279"/>
      <c r="AL41" s="279"/>
      <c r="AM41" s="279"/>
      <c r="AN41" s="279"/>
      <c r="AO41" s="279"/>
      <c r="AP41" s="279"/>
      <c r="AQ41" s="279"/>
      <c r="AR41" s="279"/>
      <c r="AS41" s="279"/>
      <c r="AT41" s="279"/>
      <c r="AU41" s="279"/>
      <c r="AV41" s="279"/>
      <c r="AW41" s="279"/>
      <c r="AX41" s="279"/>
      <c r="AY41" s="279"/>
      <c r="AZ41" s="266"/>
      <c r="BA41" s="266"/>
      <c r="BB41" s="266"/>
    </row>
    <row r="42" spans="1:54">
      <c r="A42" s="283" t="s">
        <v>50</v>
      </c>
      <c r="B42" s="284">
        <v>9</v>
      </c>
      <c r="C42" s="283" t="s">
        <v>84</v>
      </c>
      <c r="D42" s="283" t="s">
        <v>32</v>
      </c>
      <c r="E42" s="284" t="s">
        <v>314</v>
      </c>
      <c r="F42" s="283">
        <v>2021</v>
      </c>
      <c r="G42" s="279">
        <v>46483</v>
      </c>
      <c r="H42" s="279">
        <v>16933</v>
      </c>
      <c r="I42" s="279">
        <v>29550</v>
      </c>
      <c r="J42" s="279">
        <v>141390</v>
      </c>
      <c r="K42" s="279">
        <v>575</v>
      </c>
      <c r="L42" s="279">
        <v>131</v>
      </c>
      <c r="M42" s="279">
        <v>139</v>
      </c>
      <c r="N42" s="279">
        <v>39101</v>
      </c>
      <c r="O42" s="279">
        <v>369537</v>
      </c>
      <c r="P42" s="279">
        <v>20273</v>
      </c>
      <c r="Q42" s="279">
        <v>45497</v>
      </c>
      <c r="R42" s="279">
        <v>9666</v>
      </c>
      <c r="S42" s="279">
        <v>5077</v>
      </c>
      <c r="T42" s="279">
        <v>42419</v>
      </c>
      <c r="U42" s="279">
        <v>18512</v>
      </c>
      <c r="V42" s="279">
        <v>8846</v>
      </c>
      <c r="W42" s="279">
        <v>8086</v>
      </c>
      <c r="X42" s="279">
        <v>4165</v>
      </c>
      <c r="Y42" s="279">
        <v>46483</v>
      </c>
      <c r="Z42" s="279">
        <v>743102655.43532991</v>
      </c>
      <c r="AA42" s="279">
        <v>2265</v>
      </c>
      <c r="AB42" s="279">
        <v>3705</v>
      </c>
      <c r="AC42" s="279">
        <v>3707</v>
      </c>
      <c r="AD42" s="279">
        <v>76</v>
      </c>
      <c r="AE42" s="279">
        <v>245</v>
      </c>
      <c r="AF42" s="279">
        <v>281</v>
      </c>
      <c r="AG42" s="279">
        <v>301</v>
      </c>
      <c r="AH42" s="279">
        <v>206</v>
      </c>
      <c r="AI42" s="279"/>
      <c r="AJ42" s="279"/>
      <c r="AK42" s="279"/>
      <c r="AL42" s="279"/>
      <c r="AM42" s="279"/>
      <c r="AN42" s="279"/>
      <c r="AO42" s="279"/>
      <c r="AP42" s="279"/>
      <c r="AQ42" s="279"/>
      <c r="AR42" s="279"/>
      <c r="AS42" s="279"/>
      <c r="AT42" s="279"/>
      <c r="AU42" s="279"/>
      <c r="AV42" s="279"/>
      <c r="AW42" s="279"/>
      <c r="AX42" s="279"/>
      <c r="AY42" s="279"/>
      <c r="AZ42" s="266"/>
      <c r="BA42" s="266"/>
      <c r="BB42" s="266"/>
    </row>
    <row r="43" spans="1:54">
      <c r="A43" s="283" t="s">
        <v>49</v>
      </c>
      <c r="B43" s="284">
        <v>5</v>
      </c>
      <c r="C43" s="283" t="s">
        <v>60</v>
      </c>
      <c r="D43" s="283" t="s">
        <v>31</v>
      </c>
      <c r="E43" s="284" t="s">
        <v>314</v>
      </c>
      <c r="F43" s="283">
        <v>2021</v>
      </c>
      <c r="G43" s="279">
        <v>10123</v>
      </c>
      <c r="H43" s="279">
        <v>3684</v>
      </c>
      <c r="I43" s="279">
        <v>6439</v>
      </c>
      <c r="J43" s="279">
        <v>49463</v>
      </c>
      <c r="K43" s="279">
        <v>135</v>
      </c>
      <c r="L43" s="279">
        <v>43</v>
      </c>
      <c r="M43" s="279">
        <v>36</v>
      </c>
      <c r="N43" s="279">
        <v>9543</v>
      </c>
      <c r="O43" s="279">
        <v>167219</v>
      </c>
      <c r="P43" s="279">
        <v>4253</v>
      </c>
      <c r="Q43" s="279">
        <v>10367</v>
      </c>
      <c r="R43" s="279">
        <v>2917</v>
      </c>
      <c r="S43" s="279">
        <v>1029</v>
      </c>
      <c r="T43" s="279">
        <v>9857</v>
      </c>
      <c r="U43" s="279">
        <v>3963</v>
      </c>
      <c r="V43" s="279">
        <v>2844</v>
      </c>
      <c r="W43" s="279">
        <v>3172</v>
      </c>
      <c r="X43" s="279">
        <v>3170</v>
      </c>
      <c r="Y43" s="279">
        <v>10123</v>
      </c>
      <c r="Z43" s="279">
        <v>164530280.71000001</v>
      </c>
      <c r="AA43" s="279">
        <v>423</v>
      </c>
      <c r="AB43" s="279">
        <v>1141</v>
      </c>
      <c r="AC43" s="279">
        <v>700</v>
      </c>
      <c r="AD43" s="279">
        <v>42</v>
      </c>
      <c r="AE43" s="279">
        <v>75</v>
      </c>
      <c r="AF43" s="279">
        <v>86</v>
      </c>
      <c r="AG43" s="279">
        <v>37</v>
      </c>
      <c r="AH43" s="279">
        <v>24</v>
      </c>
      <c r="AI43" s="279"/>
      <c r="AJ43" s="279"/>
      <c r="AK43" s="279"/>
      <c r="AL43" s="279"/>
      <c r="AM43" s="279"/>
      <c r="AN43" s="279"/>
      <c r="AO43" s="279"/>
      <c r="AP43" s="279"/>
      <c r="AQ43" s="279"/>
      <c r="AR43" s="279"/>
      <c r="AS43" s="279"/>
      <c r="AT43" s="279"/>
      <c r="AU43" s="279"/>
      <c r="AV43" s="279"/>
      <c r="AW43" s="279"/>
      <c r="AX43" s="279"/>
      <c r="AY43" s="279"/>
      <c r="AZ43" s="266"/>
      <c r="BA43" s="266"/>
      <c r="BB43" s="266"/>
    </row>
    <row r="44" spans="1:54">
      <c r="A44" s="283" t="s">
        <v>49</v>
      </c>
      <c r="B44" s="284">
        <v>6</v>
      </c>
      <c r="C44" s="283" t="s">
        <v>61</v>
      </c>
      <c r="D44" s="283" t="s">
        <v>8</v>
      </c>
      <c r="E44" s="284" t="s">
        <v>314</v>
      </c>
      <c r="F44" s="283">
        <v>2021</v>
      </c>
      <c r="G44" s="279">
        <v>1760</v>
      </c>
      <c r="H44" s="279">
        <v>681</v>
      </c>
      <c r="I44" s="279">
        <v>1079</v>
      </c>
      <c r="J44" s="279">
        <v>10985</v>
      </c>
      <c r="K44" s="279">
        <v>47</v>
      </c>
      <c r="L44" s="279">
        <v>6</v>
      </c>
      <c r="M44" s="279">
        <v>11</v>
      </c>
      <c r="N44" s="279">
        <v>1119</v>
      </c>
      <c r="O44" s="279">
        <v>39871</v>
      </c>
      <c r="P44" s="279">
        <v>759</v>
      </c>
      <c r="Q44" s="279">
        <v>1849</v>
      </c>
      <c r="R44" s="279">
        <v>393</v>
      </c>
      <c r="S44" s="279">
        <v>316</v>
      </c>
      <c r="T44" s="279">
        <v>1488</v>
      </c>
      <c r="U44" s="279">
        <v>763</v>
      </c>
      <c r="V44" s="279">
        <v>357</v>
      </c>
      <c r="W44" s="279">
        <v>349</v>
      </c>
      <c r="X44" s="279">
        <v>313</v>
      </c>
      <c r="Y44" s="279">
        <v>1760</v>
      </c>
      <c r="Z44" s="279">
        <v>46380274.670000002</v>
      </c>
      <c r="AA44" s="279">
        <v>110</v>
      </c>
      <c r="AB44" s="279">
        <v>320</v>
      </c>
      <c r="AC44" s="279">
        <v>363</v>
      </c>
      <c r="AD44" s="279">
        <v>7</v>
      </c>
      <c r="AE44" s="279">
        <v>2</v>
      </c>
      <c r="AF44" s="279">
        <v>21</v>
      </c>
      <c r="AG44" s="279">
        <v>15</v>
      </c>
      <c r="AH44" s="279">
        <v>15</v>
      </c>
      <c r="AI44" s="279"/>
      <c r="AJ44" s="279"/>
      <c r="AK44" s="279"/>
      <c r="AL44" s="279"/>
      <c r="AM44" s="279"/>
      <c r="AN44" s="279"/>
      <c r="AO44" s="279"/>
      <c r="AP44" s="279"/>
      <c r="AQ44" s="279"/>
      <c r="AR44" s="279"/>
      <c r="AS44" s="279"/>
      <c r="AT44" s="279"/>
      <c r="AU44" s="279"/>
      <c r="AV44" s="279"/>
      <c r="AW44" s="279"/>
      <c r="AX44" s="279"/>
      <c r="AY44" s="279"/>
      <c r="AZ44" s="266"/>
      <c r="BA44" s="266"/>
      <c r="BB44" s="266"/>
    </row>
    <row r="45" spans="1:54">
      <c r="A45" s="283" t="s">
        <v>49</v>
      </c>
      <c r="B45" s="284">
        <v>10</v>
      </c>
      <c r="C45" s="283" t="s">
        <v>62</v>
      </c>
      <c r="D45" s="283" t="s">
        <v>9</v>
      </c>
      <c r="E45" s="284" t="s">
        <v>314</v>
      </c>
      <c r="F45" s="283">
        <v>2021</v>
      </c>
      <c r="G45" s="279">
        <v>1607</v>
      </c>
      <c r="H45" s="279">
        <v>722</v>
      </c>
      <c r="I45" s="279">
        <v>885</v>
      </c>
      <c r="J45" s="279">
        <v>29051</v>
      </c>
      <c r="K45" s="279">
        <v>51</v>
      </c>
      <c r="L45" s="279">
        <v>19</v>
      </c>
      <c r="M45" s="279">
        <v>10</v>
      </c>
      <c r="N45" s="279">
        <v>1355</v>
      </c>
      <c r="O45" s="279">
        <v>103115</v>
      </c>
      <c r="P45" s="279">
        <v>794</v>
      </c>
      <c r="Q45" s="279">
        <v>1601</v>
      </c>
      <c r="R45" s="279">
        <v>294</v>
      </c>
      <c r="S45" s="279">
        <v>500</v>
      </c>
      <c r="T45" s="279">
        <v>1288</v>
      </c>
      <c r="U45" s="279">
        <v>744</v>
      </c>
      <c r="V45" s="279">
        <v>267</v>
      </c>
      <c r="W45" s="279">
        <v>401</v>
      </c>
      <c r="X45" s="279">
        <v>235</v>
      </c>
      <c r="Y45" s="279">
        <v>1607</v>
      </c>
      <c r="Z45" s="279">
        <v>45738490.170000002</v>
      </c>
      <c r="AA45" s="279">
        <v>148</v>
      </c>
      <c r="AB45" s="279">
        <v>260</v>
      </c>
      <c r="AC45" s="279">
        <v>1904</v>
      </c>
      <c r="AD45" s="279">
        <v>34</v>
      </c>
      <c r="AE45" s="279">
        <v>32</v>
      </c>
      <c r="AF45" s="279">
        <v>32</v>
      </c>
      <c r="AG45" s="279">
        <v>26</v>
      </c>
      <c r="AH45" s="279">
        <v>26</v>
      </c>
      <c r="AI45" s="279"/>
      <c r="AJ45" s="279"/>
      <c r="AK45" s="279"/>
      <c r="AL45" s="279"/>
      <c r="AM45" s="279"/>
      <c r="AN45" s="279"/>
      <c r="AO45" s="279"/>
      <c r="AP45" s="279"/>
      <c r="AQ45" s="279"/>
      <c r="AR45" s="279"/>
      <c r="AS45" s="279"/>
      <c r="AT45" s="279"/>
      <c r="AU45" s="279"/>
      <c r="AV45" s="279"/>
      <c r="AW45" s="279"/>
      <c r="AX45" s="279"/>
      <c r="AY45" s="279"/>
      <c r="AZ45" s="266"/>
      <c r="BA45" s="266"/>
      <c r="BB45" s="266"/>
    </row>
    <row r="46" spans="1:54">
      <c r="A46" s="283" t="s">
        <v>49</v>
      </c>
      <c r="B46" s="284">
        <v>11</v>
      </c>
      <c r="C46" s="283" t="s">
        <v>63</v>
      </c>
      <c r="D46" s="283" t="s">
        <v>10</v>
      </c>
      <c r="E46" s="284" t="s">
        <v>314</v>
      </c>
      <c r="F46" s="283">
        <v>2021</v>
      </c>
      <c r="G46" s="279">
        <v>16462</v>
      </c>
      <c r="H46" s="279">
        <v>6288</v>
      </c>
      <c r="I46" s="279">
        <v>10174</v>
      </c>
      <c r="J46" s="279">
        <v>100029</v>
      </c>
      <c r="K46" s="279">
        <v>308</v>
      </c>
      <c r="L46" s="279">
        <v>90</v>
      </c>
      <c r="M46" s="279">
        <v>82</v>
      </c>
      <c r="N46" s="279">
        <v>15302</v>
      </c>
      <c r="O46" s="279">
        <v>339774</v>
      </c>
      <c r="P46" s="279">
        <v>7626</v>
      </c>
      <c r="Q46" s="279">
        <v>17465</v>
      </c>
      <c r="R46" s="279">
        <v>4136</v>
      </c>
      <c r="S46" s="279">
        <v>3989</v>
      </c>
      <c r="T46" s="279">
        <v>15576</v>
      </c>
      <c r="U46" s="279">
        <v>6642</v>
      </c>
      <c r="V46" s="279">
        <v>4068</v>
      </c>
      <c r="W46" s="279">
        <v>5149</v>
      </c>
      <c r="X46" s="279">
        <v>4886</v>
      </c>
      <c r="Y46" s="279">
        <v>16462</v>
      </c>
      <c r="Z46" s="279">
        <v>292445970.76999998</v>
      </c>
      <c r="AA46" s="279">
        <v>804</v>
      </c>
      <c r="AB46" s="279">
        <v>2187</v>
      </c>
      <c r="AC46" s="279">
        <v>1214</v>
      </c>
      <c r="AD46" s="279">
        <v>107</v>
      </c>
      <c r="AE46" s="279">
        <v>1029</v>
      </c>
      <c r="AF46" s="279">
        <v>1309</v>
      </c>
      <c r="AG46" s="279">
        <v>119</v>
      </c>
      <c r="AH46" s="279">
        <v>96</v>
      </c>
      <c r="AI46" s="279">
        <v>6553</v>
      </c>
      <c r="AJ46" s="279"/>
      <c r="AK46" s="279"/>
      <c r="AL46" s="279"/>
      <c r="AM46" s="279"/>
      <c r="AN46" s="279"/>
      <c r="AO46" s="279"/>
      <c r="AP46" s="279"/>
      <c r="AQ46" s="279"/>
      <c r="AR46" s="279"/>
      <c r="AS46" s="279"/>
      <c r="AT46" s="279"/>
      <c r="AU46" s="279"/>
      <c r="AV46" s="279"/>
      <c r="AW46" s="279"/>
      <c r="AX46" s="279"/>
      <c r="AY46" s="279"/>
      <c r="AZ46" s="266"/>
      <c r="BA46" s="266"/>
      <c r="BB46" s="266"/>
    </row>
    <row r="47" spans="1:54">
      <c r="A47" s="283" t="s">
        <v>49</v>
      </c>
      <c r="B47" s="284">
        <v>12</v>
      </c>
      <c r="C47" s="283" t="s">
        <v>64</v>
      </c>
      <c r="D47" s="283" t="s">
        <v>11</v>
      </c>
      <c r="E47" s="284" t="s">
        <v>314</v>
      </c>
      <c r="F47" s="283">
        <v>2021</v>
      </c>
      <c r="G47" s="279">
        <v>5818</v>
      </c>
      <c r="H47" s="279">
        <v>2452</v>
      </c>
      <c r="I47" s="279">
        <v>3366</v>
      </c>
      <c r="J47" s="279">
        <v>60756</v>
      </c>
      <c r="K47" s="279">
        <v>134</v>
      </c>
      <c r="L47" s="279">
        <v>26</v>
      </c>
      <c r="M47" s="279">
        <v>41</v>
      </c>
      <c r="N47" s="279">
        <v>5107</v>
      </c>
      <c r="O47" s="279">
        <v>209485</v>
      </c>
      <c r="P47" s="279">
        <v>2768</v>
      </c>
      <c r="Q47" s="279">
        <v>5983</v>
      </c>
      <c r="R47" s="279">
        <v>1328</v>
      </c>
      <c r="S47" s="279">
        <v>1597</v>
      </c>
      <c r="T47" s="279">
        <v>5020</v>
      </c>
      <c r="U47" s="279">
        <v>2388</v>
      </c>
      <c r="V47" s="279">
        <v>1270</v>
      </c>
      <c r="W47" s="279">
        <v>1392</v>
      </c>
      <c r="X47" s="279">
        <v>1045</v>
      </c>
      <c r="Y47" s="279">
        <v>5818</v>
      </c>
      <c r="Z47" s="279">
        <v>169830661</v>
      </c>
      <c r="AA47" s="279">
        <v>290</v>
      </c>
      <c r="AB47" s="279">
        <v>719</v>
      </c>
      <c r="AC47" s="279">
        <v>11625</v>
      </c>
      <c r="AD47" s="279">
        <v>644</v>
      </c>
      <c r="AE47" s="279">
        <v>7</v>
      </c>
      <c r="AF47" s="279">
        <v>7</v>
      </c>
      <c r="AG47" s="279">
        <v>20</v>
      </c>
      <c r="AH47" s="279">
        <v>20</v>
      </c>
      <c r="AI47" s="279"/>
      <c r="AJ47" s="279"/>
      <c r="AK47" s="279"/>
      <c r="AL47" s="279"/>
      <c r="AM47" s="279"/>
      <c r="AN47" s="279"/>
      <c r="AO47" s="279"/>
      <c r="AP47" s="279"/>
      <c r="AQ47" s="279"/>
      <c r="AR47" s="279"/>
      <c r="AS47" s="279"/>
      <c r="AT47" s="279"/>
      <c r="AU47" s="279"/>
      <c r="AV47" s="279"/>
      <c r="AW47" s="279"/>
      <c r="AX47" s="279"/>
      <c r="AY47" s="279"/>
      <c r="AZ47" s="266"/>
      <c r="BA47" s="266"/>
      <c r="BB47" s="266"/>
    </row>
    <row r="48" spans="1:54">
      <c r="A48" s="283" t="s">
        <v>49</v>
      </c>
      <c r="B48" s="284">
        <v>13</v>
      </c>
      <c r="C48" s="283" t="s">
        <v>65</v>
      </c>
      <c r="D48" s="283" t="s">
        <v>12</v>
      </c>
      <c r="E48" s="284" t="s">
        <v>314</v>
      </c>
      <c r="F48" s="283">
        <v>2021</v>
      </c>
      <c r="G48" s="279">
        <v>3684</v>
      </c>
      <c r="H48" s="279">
        <v>1427</v>
      </c>
      <c r="I48" s="279">
        <v>2257</v>
      </c>
      <c r="J48" s="279">
        <v>55543</v>
      </c>
      <c r="K48" s="279">
        <v>72</v>
      </c>
      <c r="L48" s="279">
        <v>37</v>
      </c>
      <c r="M48" s="279">
        <v>17</v>
      </c>
      <c r="N48" s="279">
        <v>3325</v>
      </c>
      <c r="O48" s="279">
        <v>165727</v>
      </c>
      <c r="P48" s="279">
        <v>1723</v>
      </c>
      <c r="Q48" s="279">
        <v>3744</v>
      </c>
      <c r="R48" s="279">
        <v>913</v>
      </c>
      <c r="S48" s="279">
        <v>469</v>
      </c>
      <c r="T48" s="279">
        <v>3397</v>
      </c>
      <c r="U48" s="279">
        <v>1421</v>
      </c>
      <c r="V48" s="279">
        <v>868</v>
      </c>
      <c r="W48" s="279">
        <v>864</v>
      </c>
      <c r="X48" s="279">
        <v>862</v>
      </c>
      <c r="Y48" s="279">
        <v>3684</v>
      </c>
      <c r="Z48" s="279">
        <v>70934691.959999993</v>
      </c>
      <c r="AA48" s="279">
        <v>194</v>
      </c>
      <c r="AB48" s="279">
        <v>428</v>
      </c>
      <c r="AC48" s="279">
        <v>1140</v>
      </c>
      <c r="AD48" s="279"/>
      <c r="AE48" s="279">
        <v>29</v>
      </c>
      <c r="AF48" s="279">
        <v>35</v>
      </c>
      <c r="AG48" s="279">
        <v>79</v>
      </c>
      <c r="AH48" s="279">
        <v>76</v>
      </c>
      <c r="AI48" s="279"/>
      <c r="AJ48" s="279"/>
      <c r="AK48" s="279"/>
      <c r="AL48" s="279"/>
      <c r="AM48" s="279"/>
      <c r="AN48" s="279"/>
      <c r="AO48" s="279"/>
      <c r="AP48" s="279"/>
      <c r="AQ48" s="279"/>
      <c r="AR48" s="279"/>
      <c r="AS48" s="279"/>
      <c r="AT48" s="279"/>
      <c r="AU48" s="279"/>
      <c r="AV48" s="279"/>
      <c r="AW48" s="279"/>
      <c r="AX48" s="279"/>
      <c r="AY48" s="279"/>
      <c r="AZ48" s="266"/>
      <c r="BA48" s="266"/>
      <c r="BB48" s="266"/>
    </row>
    <row r="49" spans="1:54">
      <c r="A49" s="283" t="s">
        <v>49</v>
      </c>
      <c r="B49" s="284">
        <v>14</v>
      </c>
      <c r="C49" s="283" t="s">
        <v>66</v>
      </c>
      <c r="D49" s="283" t="s">
        <v>13</v>
      </c>
      <c r="E49" s="284" t="s">
        <v>314</v>
      </c>
      <c r="F49" s="283">
        <v>2021</v>
      </c>
      <c r="G49" s="279">
        <v>13107</v>
      </c>
      <c r="H49" s="279">
        <v>4606</v>
      </c>
      <c r="I49" s="279">
        <v>8501</v>
      </c>
      <c r="J49" s="279">
        <v>132315</v>
      </c>
      <c r="K49" s="279">
        <v>273</v>
      </c>
      <c r="L49" s="279">
        <v>38</v>
      </c>
      <c r="M49" s="279">
        <v>64</v>
      </c>
      <c r="N49" s="279">
        <v>11022</v>
      </c>
      <c r="O49" s="279">
        <v>446045</v>
      </c>
      <c r="P49" s="279">
        <v>4678</v>
      </c>
      <c r="Q49" s="279">
        <v>13609</v>
      </c>
      <c r="R49" s="279">
        <v>2961</v>
      </c>
      <c r="S49" s="279">
        <v>2347</v>
      </c>
      <c r="T49" s="279">
        <v>12207</v>
      </c>
      <c r="U49" s="279">
        <v>5515</v>
      </c>
      <c r="V49" s="279">
        <v>2750</v>
      </c>
      <c r="W49" s="279">
        <v>3267</v>
      </c>
      <c r="X49" s="279">
        <v>2879</v>
      </c>
      <c r="Y49" s="279">
        <v>13107</v>
      </c>
      <c r="Z49" s="279">
        <v>282480364.50000006</v>
      </c>
      <c r="AA49" s="279">
        <v>737</v>
      </c>
      <c r="AB49" s="279">
        <v>2084</v>
      </c>
      <c r="AC49" s="279">
        <v>9912</v>
      </c>
      <c r="AD49" s="279">
        <v>530</v>
      </c>
      <c r="AE49" s="279">
        <v>977</v>
      </c>
      <c r="AF49" s="279">
        <v>1098</v>
      </c>
      <c r="AG49" s="279">
        <v>306</v>
      </c>
      <c r="AH49" s="279">
        <v>189</v>
      </c>
      <c r="AI49" s="279">
        <v>755</v>
      </c>
      <c r="AJ49" s="279"/>
      <c r="AK49" s="279"/>
      <c r="AL49" s="279"/>
      <c r="AM49" s="279"/>
      <c r="AN49" s="279"/>
      <c r="AO49" s="279"/>
      <c r="AP49" s="279"/>
      <c r="AQ49" s="279"/>
      <c r="AR49" s="279"/>
      <c r="AS49" s="279"/>
      <c r="AT49" s="279"/>
      <c r="AU49" s="279"/>
      <c r="AV49" s="279"/>
      <c r="AW49" s="279"/>
      <c r="AX49" s="279"/>
      <c r="AY49" s="279"/>
      <c r="AZ49" s="266"/>
      <c r="BA49" s="266"/>
      <c r="BB49" s="266"/>
    </row>
    <row r="50" spans="1:54">
      <c r="A50" s="283" t="s">
        <v>49</v>
      </c>
      <c r="B50" s="284">
        <v>15</v>
      </c>
      <c r="C50" s="283" t="s">
        <v>67</v>
      </c>
      <c r="D50" s="283" t="s">
        <v>14</v>
      </c>
      <c r="E50" s="284" t="s">
        <v>314</v>
      </c>
      <c r="F50" s="283">
        <v>2021</v>
      </c>
      <c r="G50" s="279">
        <v>48029</v>
      </c>
      <c r="H50" s="279">
        <v>18271</v>
      </c>
      <c r="I50" s="279">
        <v>29758</v>
      </c>
      <c r="J50" s="279">
        <v>280953</v>
      </c>
      <c r="K50" s="279">
        <v>792</v>
      </c>
      <c r="L50" s="279">
        <v>188</v>
      </c>
      <c r="M50" s="279">
        <v>205</v>
      </c>
      <c r="N50" s="279">
        <v>43041</v>
      </c>
      <c r="O50" s="279">
        <v>887753</v>
      </c>
      <c r="P50" s="279">
        <v>18288</v>
      </c>
      <c r="Q50" s="279">
        <v>47010</v>
      </c>
      <c r="R50" s="279">
        <v>10832</v>
      </c>
      <c r="S50" s="279">
        <v>4334</v>
      </c>
      <c r="T50" s="279">
        <v>43239</v>
      </c>
      <c r="U50" s="279">
        <v>18922</v>
      </c>
      <c r="V50" s="279">
        <v>10186</v>
      </c>
      <c r="W50" s="279">
        <v>9977</v>
      </c>
      <c r="X50" s="279">
        <v>6508</v>
      </c>
      <c r="Y50" s="279">
        <v>48029</v>
      </c>
      <c r="Z50" s="279">
        <v>822953049.16999996</v>
      </c>
      <c r="AA50" s="279">
        <v>2092</v>
      </c>
      <c r="AB50" s="279">
        <v>4445</v>
      </c>
      <c r="AC50" s="279">
        <v>6191</v>
      </c>
      <c r="AD50" s="279">
        <v>1137</v>
      </c>
      <c r="AE50" s="279">
        <v>1057</v>
      </c>
      <c r="AF50" s="279">
        <v>1231</v>
      </c>
      <c r="AG50" s="279">
        <v>2732</v>
      </c>
      <c r="AH50" s="279">
        <v>1171</v>
      </c>
      <c r="AI50" s="279">
        <v>1007</v>
      </c>
      <c r="AJ50" s="279"/>
      <c r="AK50" s="279"/>
      <c r="AL50" s="279"/>
      <c r="AM50" s="279"/>
      <c r="AN50" s="279"/>
      <c r="AO50" s="279"/>
      <c r="AP50" s="279"/>
      <c r="AQ50" s="279"/>
      <c r="AR50" s="279"/>
      <c r="AS50" s="279"/>
      <c r="AT50" s="279"/>
      <c r="AU50" s="279"/>
      <c r="AV50" s="279"/>
      <c r="AW50" s="279"/>
      <c r="AX50" s="279"/>
      <c r="AY50" s="279"/>
    </row>
    <row r="51" spans="1:54">
      <c r="A51" s="283" t="s">
        <v>49</v>
      </c>
      <c r="B51" s="284">
        <v>16</v>
      </c>
      <c r="C51" s="283" t="s">
        <v>68</v>
      </c>
      <c r="D51" s="283" t="s">
        <v>30</v>
      </c>
      <c r="E51" s="284" t="s">
        <v>314</v>
      </c>
      <c r="F51" s="283">
        <v>2021</v>
      </c>
      <c r="G51" s="279">
        <v>10545</v>
      </c>
      <c r="H51" s="279">
        <v>4133</v>
      </c>
      <c r="I51" s="279">
        <v>6412</v>
      </c>
      <c r="J51" s="279">
        <v>69477</v>
      </c>
      <c r="K51" s="279">
        <v>244</v>
      </c>
      <c r="L51" s="279">
        <v>53</v>
      </c>
      <c r="M51" s="279">
        <v>66</v>
      </c>
      <c r="N51" s="279">
        <v>9223</v>
      </c>
      <c r="O51" s="279">
        <v>260389</v>
      </c>
      <c r="P51" s="279">
        <v>4562</v>
      </c>
      <c r="Q51" s="279">
        <v>11062</v>
      </c>
      <c r="R51" s="279">
        <v>2470</v>
      </c>
      <c r="S51" s="279">
        <v>655</v>
      </c>
      <c r="T51" s="279">
        <v>9357</v>
      </c>
      <c r="U51" s="279">
        <v>4376</v>
      </c>
      <c r="V51" s="279">
        <v>2325</v>
      </c>
      <c r="W51" s="279">
        <v>2596</v>
      </c>
      <c r="X51" s="279">
        <v>2292</v>
      </c>
      <c r="Y51" s="279">
        <v>10545</v>
      </c>
      <c r="Z51" s="279">
        <v>213395957.60999998</v>
      </c>
      <c r="AA51" s="279">
        <v>439</v>
      </c>
      <c r="AB51" s="279">
        <v>1204</v>
      </c>
      <c r="AC51" s="279">
        <v>495</v>
      </c>
      <c r="AD51" s="279">
        <v>284</v>
      </c>
      <c r="AE51" s="279">
        <v>259</v>
      </c>
      <c r="AF51" s="279">
        <v>266</v>
      </c>
      <c r="AG51" s="279">
        <v>6080</v>
      </c>
      <c r="AH51" s="279">
        <v>4994</v>
      </c>
      <c r="AI51" s="279"/>
      <c r="AJ51" s="279"/>
      <c r="AK51" s="279"/>
      <c r="AL51" s="279"/>
      <c r="AM51" s="279"/>
      <c r="AN51" s="279"/>
      <c r="AO51" s="279"/>
      <c r="AP51" s="279"/>
      <c r="AQ51" s="279"/>
      <c r="AR51" s="279"/>
      <c r="AS51" s="279"/>
      <c r="AT51" s="279"/>
      <c r="AU51" s="279"/>
      <c r="AV51" s="279"/>
      <c r="AW51" s="279"/>
      <c r="AX51" s="279"/>
      <c r="AY51" s="279"/>
    </row>
    <row r="52" spans="1:54">
      <c r="A52" s="283" t="s">
        <v>49</v>
      </c>
      <c r="B52" s="284">
        <v>17</v>
      </c>
      <c r="C52" s="283" t="s">
        <v>69</v>
      </c>
      <c r="D52" s="283" t="s">
        <v>15</v>
      </c>
      <c r="E52" s="284" t="s">
        <v>314</v>
      </c>
      <c r="F52" s="283">
        <v>2021</v>
      </c>
      <c r="G52" s="279">
        <v>4277</v>
      </c>
      <c r="H52" s="279">
        <v>1854</v>
      </c>
      <c r="I52" s="279">
        <v>2423</v>
      </c>
      <c r="J52" s="279">
        <v>31224</v>
      </c>
      <c r="K52" s="279">
        <v>74</v>
      </c>
      <c r="L52" s="279">
        <v>17</v>
      </c>
      <c r="M52" s="279">
        <v>13</v>
      </c>
      <c r="N52" s="279">
        <v>3796</v>
      </c>
      <c r="O52" s="279">
        <v>102796</v>
      </c>
      <c r="P52" s="279">
        <v>2152</v>
      </c>
      <c r="Q52" s="279">
        <v>4340</v>
      </c>
      <c r="R52" s="279">
        <v>932</v>
      </c>
      <c r="S52" s="279">
        <v>809</v>
      </c>
      <c r="T52" s="279">
        <v>3643</v>
      </c>
      <c r="U52" s="279">
        <v>1846</v>
      </c>
      <c r="V52" s="279">
        <v>854</v>
      </c>
      <c r="W52" s="279">
        <v>981</v>
      </c>
      <c r="X52" s="279">
        <v>855</v>
      </c>
      <c r="Y52" s="279">
        <v>4277</v>
      </c>
      <c r="Z52" s="279">
        <v>78374947.460000008</v>
      </c>
      <c r="AA52" s="279">
        <v>235</v>
      </c>
      <c r="AB52" s="279">
        <v>532</v>
      </c>
      <c r="AC52" s="279">
        <v>1414</v>
      </c>
      <c r="AD52" s="279">
        <v>64</v>
      </c>
      <c r="AE52" s="279">
        <v>167</v>
      </c>
      <c r="AF52" s="279">
        <v>184</v>
      </c>
      <c r="AG52" s="279">
        <v>991</v>
      </c>
      <c r="AH52" s="279">
        <v>991</v>
      </c>
      <c r="AI52" s="279"/>
      <c r="AJ52" s="279"/>
      <c r="AK52" s="279"/>
      <c r="AL52" s="279"/>
      <c r="AM52" s="279"/>
      <c r="AN52" s="279"/>
      <c r="AO52" s="279"/>
      <c r="AP52" s="279"/>
      <c r="AQ52" s="279"/>
      <c r="AR52" s="279"/>
      <c r="AS52" s="279"/>
      <c r="AT52" s="279"/>
      <c r="AU52" s="279"/>
      <c r="AV52" s="279"/>
      <c r="AW52" s="279"/>
      <c r="AX52" s="279"/>
      <c r="AY52" s="279"/>
    </row>
    <row r="53" spans="1:54">
      <c r="A53" s="283" t="s">
        <v>49</v>
      </c>
      <c r="B53" s="284">
        <v>18</v>
      </c>
      <c r="C53" s="283" t="s">
        <v>70</v>
      </c>
      <c r="D53" s="283" t="s">
        <v>16</v>
      </c>
      <c r="E53" s="284" t="s">
        <v>314</v>
      </c>
      <c r="F53" s="283">
        <v>2021</v>
      </c>
      <c r="G53" s="279">
        <v>2949</v>
      </c>
      <c r="H53" s="279">
        <v>1280</v>
      </c>
      <c r="I53" s="279">
        <v>1669</v>
      </c>
      <c r="J53" s="279">
        <v>19826</v>
      </c>
      <c r="K53" s="279">
        <v>59</v>
      </c>
      <c r="L53" s="279">
        <v>10</v>
      </c>
      <c r="M53" s="279">
        <v>14</v>
      </c>
      <c r="N53" s="279">
        <v>2794</v>
      </c>
      <c r="O53" s="279">
        <v>68627</v>
      </c>
      <c r="P53" s="279">
        <v>1443</v>
      </c>
      <c r="Q53" s="279">
        <v>2894</v>
      </c>
      <c r="R53" s="279">
        <v>464</v>
      </c>
      <c r="S53" s="279">
        <v>982</v>
      </c>
      <c r="T53" s="279">
        <v>2409</v>
      </c>
      <c r="U53" s="279">
        <v>1114</v>
      </c>
      <c r="V53" s="279">
        <v>433</v>
      </c>
      <c r="W53" s="279">
        <v>568</v>
      </c>
      <c r="X53" s="279">
        <v>339</v>
      </c>
      <c r="Y53" s="279">
        <v>2949</v>
      </c>
      <c r="Z53" s="279">
        <v>56027295.090000004</v>
      </c>
      <c r="AA53" s="279">
        <v>132</v>
      </c>
      <c r="AB53" s="279">
        <v>361</v>
      </c>
      <c r="AC53" s="279">
        <v>2448</v>
      </c>
      <c r="AD53" s="279">
        <v>11</v>
      </c>
      <c r="AE53" s="279">
        <v>28</v>
      </c>
      <c r="AF53" s="279">
        <v>28</v>
      </c>
      <c r="AG53" s="279">
        <v>0</v>
      </c>
      <c r="AH53" s="279">
        <v>0</v>
      </c>
      <c r="AI53" s="279"/>
      <c r="AJ53" s="279"/>
      <c r="AK53" s="279"/>
      <c r="AL53" s="279"/>
      <c r="AM53" s="279"/>
      <c r="AN53" s="279"/>
      <c r="AO53" s="279"/>
      <c r="AP53" s="279"/>
      <c r="AQ53" s="279"/>
      <c r="AR53" s="279"/>
      <c r="AS53" s="279"/>
      <c r="AT53" s="279"/>
      <c r="AU53" s="279"/>
      <c r="AV53" s="279"/>
      <c r="AW53" s="279"/>
      <c r="AX53" s="279"/>
      <c r="AY53" s="279"/>
    </row>
    <row r="54" spans="1:54">
      <c r="A54" s="283" t="s">
        <v>49</v>
      </c>
      <c r="B54" s="284">
        <v>19</v>
      </c>
      <c r="C54" s="283" t="s">
        <v>71</v>
      </c>
      <c r="D54" s="283" t="s">
        <v>17</v>
      </c>
      <c r="E54" s="284" t="s">
        <v>314</v>
      </c>
      <c r="F54" s="283">
        <v>2021</v>
      </c>
      <c r="G54" s="279">
        <v>23335</v>
      </c>
      <c r="H54" s="279">
        <v>8841</v>
      </c>
      <c r="I54" s="279">
        <v>14494</v>
      </c>
      <c r="J54" s="279">
        <v>89094</v>
      </c>
      <c r="K54" s="279">
        <v>298</v>
      </c>
      <c r="L54" s="279">
        <v>78</v>
      </c>
      <c r="M54" s="279">
        <v>81</v>
      </c>
      <c r="N54" s="279">
        <v>19836</v>
      </c>
      <c r="O54" s="279">
        <v>283595</v>
      </c>
      <c r="P54" s="279">
        <v>10564</v>
      </c>
      <c r="Q54" s="279">
        <v>21963</v>
      </c>
      <c r="R54" s="279">
        <v>5910</v>
      </c>
      <c r="S54" s="279">
        <v>1888</v>
      </c>
      <c r="T54" s="279">
        <v>21228</v>
      </c>
      <c r="U54" s="279">
        <v>7840</v>
      </c>
      <c r="V54" s="279">
        <v>5701</v>
      </c>
      <c r="W54" s="279">
        <v>5889</v>
      </c>
      <c r="X54" s="279">
        <v>5731</v>
      </c>
      <c r="Y54" s="279">
        <v>23335</v>
      </c>
      <c r="Z54" s="279">
        <v>287356729</v>
      </c>
      <c r="AA54" s="279">
        <v>1008</v>
      </c>
      <c r="AB54" s="279">
        <v>1549</v>
      </c>
      <c r="AC54" s="279">
        <v>39669</v>
      </c>
      <c r="AD54" s="279">
        <v>1274</v>
      </c>
      <c r="AE54" s="279">
        <v>1832</v>
      </c>
      <c r="AF54" s="279">
        <v>2037</v>
      </c>
      <c r="AG54" s="279">
        <v>94595</v>
      </c>
      <c r="AH54" s="279">
        <v>73570</v>
      </c>
      <c r="AI54" s="279">
        <v>384</v>
      </c>
      <c r="AJ54" s="279"/>
      <c r="AK54" s="279"/>
      <c r="AL54" s="279"/>
      <c r="AM54" s="279"/>
      <c r="AN54" s="279"/>
      <c r="AO54" s="279"/>
      <c r="AP54" s="279"/>
      <c r="AQ54" s="279"/>
      <c r="AR54" s="279"/>
      <c r="AS54" s="279"/>
      <c r="AT54" s="279"/>
      <c r="AU54" s="279"/>
      <c r="AV54" s="279"/>
      <c r="AW54" s="279"/>
      <c r="AX54" s="279"/>
      <c r="AY54" s="279"/>
    </row>
    <row r="55" spans="1:54">
      <c r="A55" s="283" t="s">
        <v>50</v>
      </c>
      <c r="B55" s="284">
        <v>20</v>
      </c>
      <c r="C55" s="283" t="s">
        <v>85</v>
      </c>
      <c r="D55" s="283" t="s">
        <v>28</v>
      </c>
      <c r="E55" s="284" t="s">
        <v>314</v>
      </c>
      <c r="F55" s="283">
        <v>2021</v>
      </c>
      <c r="G55" s="279">
        <v>5832</v>
      </c>
      <c r="H55" s="279">
        <v>2203</v>
      </c>
      <c r="I55" s="279">
        <v>3629</v>
      </c>
      <c r="J55" s="279">
        <v>71849</v>
      </c>
      <c r="K55" s="279">
        <v>121</v>
      </c>
      <c r="L55" s="279">
        <v>24</v>
      </c>
      <c r="M55" s="279">
        <v>31</v>
      </c>
      <c r="N55" s="279">
        <v>4972</v>
      </c>
      <c r="O55" s="279">
        <v>229797</v>
      </c>
      <c r="P55" s="279">
        <v>2633</v>
      </c>
      <c r="Q55" s="279">
        <v>6354</v>
      </c>
      <c r="R55" s="279">
        <v>1054</v>
      </c>
      <c r="S55" s="279">
        <v>1793</v>
      </c>
      <c r="T55" s="279">
        <v>5128</v>
      </c>
      <c r="U55" s="279">
        <v>2220</v>
      </c>
      <c r="V55" s="279">
        <v>1004</v>
      </c>
      <c r="W55" s="279">
        <v>1223</v>
      </c>
      <c r="X55" s="279">
        <v>611</v>
      </c>
      <c r="Y55" s="279">
        <v>5832</v>
      </c>
      <c r="Z55" s="279">
        <v>217167527.859029</v>
      </c>
      <c r="AA55" s="279">
        <v>395</v>
      </c>
      <c r="AB55" s="279">
        <v>637</v>
      </c>
      <c r="AC55" s="279">
        <v>571</v>
      </c>
      <c r="AD55" s="279">
        <v>4</v>
      </c>
      <c r="AE55" s="279">
        <v>3</v>
      </c>
      <c r="AF55" s="279">
        <v>22</v>
      </c>
      <c r="AG55" s="279">
        <v>67</v>
      </c>
      <c r="AH55" s="279">
        <v>67</v>
      </c>
      <c r="AI55" s="279"/>
      <c r="AJ55" s="279"/>
      <c r="AK55" s="279"/>
      <c r="AL55" s="279"/>
      <c r="AM55" s="279"/>
      <c r="AN55" s="279"/>
      <c r="AO55" s="279"/>
      <c r="AP55" s="279"/>
      <c r="AQ55" s="279"/>
      <c r="AR55" s="279"/>
      <c r="AS55" s="279"/>
      <c r="AT55" s="279"/>
      <c r="AU55" s="279"/>
      <c r="AV55" s="279"/>
      <c r="AW55" s="279"/>
      <c r="AX55" s="279"/>
      <c r="AY55" s="279"/>
    </row>
    <row r="56" spans="1:54">
      <c r="A56" s="283" t="s">
        <v>49</v>
      </c>
      <c r="B56" s="284">
        <v>21</v>
      </c>
      <c r="C56" s="283" t="s">
        <v>72</v>
      </c>
      <c r="D56" s="283" t="s">
        <v>18</v>
      </c>
      <c r="E56" s="284" t="s">
        <v>314</v>
      </c>
      <c r="F56" s="283">
        <v>2021</v>
      </c>
      <c r="G56" s="279">
        <v>7616</v>
      </c>
      <c r="H56" s="279">
        <v>2960</v>
      </c>
      <c r="I56" s="279">
        <v>4656</v>
      </c>
      <c r="J56" s="279">
        <v>111386</v>
      </c>
      <c r="K56" s="279">
        <v>153</v>
      </c>
      <c r="L56" s="279">
        <v>41</v>
      </c>
      <c r="M56" s="279">
        <v>39</v>
      </c>
      <c r="N56" s="279">
        <v>6877</v>
      </c>
      <c r="O56" s="279">
        <v>368029</v>
      </c>
      <c r="P56" s="279">
        <v>3474</v>
      </c>
      <c r="Q56" s="279">
        <v>7329</v>
      </c>
      <c r="R56" s="279">
        <v>1923</v>
      </c>
      <c r="S56" s="279">
        <v>255</v>
      </c>
      <c r="T56" s="279">
        <v>6814</v>
      </c>
      <c r="U56" s="279">
        <v>2756</v>
      </c>
      <c r="V56" s="279">
        <v>1850</v>
      </c>
      <c r="W56" s="279">
        <v>1948</v>
      </c>
      <c r="X56" s="279">
        <v>1693</v>
      </c>
      <c r="Y56" s="279">
        <v>7616</v>
      </c>
      <c r="Z56" s="279">
        <v>167926851.00999999</v>
      </c>
      <c r="AA56" s="279">
        <v>390</v>
      </c>
      <c r="AB56" s="279">
        <v>1005</v>
      </c>
      <c r="AC56" s="279">
        <v>381</v>
      </c>
      <c r="AD56" s="279">
        <v>203</v>
      </c>
      <c r="AE56" s="279">
        <v>88</v>
      </c>
      <c r="AF56" s="279">
        <v>91</v>
      </c>
      <c r="AG56" s="279">
        <v>1868</v>
      </c>
      <c r="AH56" s="279">
        <v>1369</v>
      </c>
      <c r="AI56" s="279"/>
      <c r="AJ56" s="279"/>
      <c r="AK56" s="279"/>
      <c r="AL56" s="279"/>
      <c r="AM56" s="279"/>
      <c r="AN56" s="279"/>
      <c r="AO56" s="279"/>
      <c r="AP56" s="279"/>
      <c r="AQ56" s="279"/>
      <c r="AR56" s="279"/>
      <c r="AS56" s="279"/>
      <c r="AT56" s="279"/>
      <c r="AU56" s="279"/>
      <c r="AV56" s="279"/>
      <c r="AW56" s="279"/>
      <c r="AX56" s="279"/>
      <c r="AY56" s="279"/>
    </row>
    <row r="57" spans="1:54">
      <c r="A57" s="283" t="s">
        <v>49</v>
      </c>
      <c r="B57" s="284">
        <v>22</v>
      </c>
      <c r="C57" s="283" t="s">
        <v>73</v>
      </c>
      <c r="D57" s="283" t="s">
        <v>29</v>
      </c>
      <c r="E57" s="284" t="s">
        <v>314</v>
      </c>
      <c r="F57" s="283">
        <v>2021</v>
      </c>
      <c r="G57" s="279">
        <v>3548</v>
      </c>
      <c r="H57" s="279">
        <v>1603</v>
      </c>
      <c r="I57" s="279">
        <v>1945</v>
      </c>
      <c r="J57" s="279">
        <v>37075</v>
      </c>
      <c r="K57" s="279">
        <v>68</v>
      </c>
      <c r="L57" s="279">
        <v>23</v>
      </c>
      <c r="M57" s="279">
        <v>26</v>
      </c>
      <c r="N57" s="279">
        <v>3268</v>
      </c>
      <c r="O57" s="279">
        <v>120618</v>
      </c>
      <c r="P57" s="279">
        <v>2309</v>
      </c>
      <c r="Q57" s="279">
        <v>3502</v>
      </c>
      <c r="R57" s="279">
        <v>725</v>
      </c>
      <c r="S57" s="279">
        <v>787</v>
      </c>
      <c r="T57" s="279">
        <v>2897</v>
      </c>
      <c r="U57" s="279">
        <v>1380</v>
      </c>
      <c r="V57" s="279">
        <v>709</v>
      </c>
      <c r="W57" s="279">
        <v>883</v>
      </c>
      <c r="X57" s="279">
        <v>865</v>
      </c>
      <c r="Y57" s="279">
        <v>3548</v>
      </c>
      <c r="Z57" s="279">
        <v>68624849</v>
      </c>
      <c r="AA57" s="279">
        <v>232</v>
      </c>
      <c r="AB57" s="279">
        <v>449</v>
      </c>
      <c r="AC57" s="279">
        <v>205</v>
      </c>
      <c r="AD57" s="279">
        <v>41</v>
      </c>
      <c r="AE57" s="279">
        <v>139</v>
      </c>
      <c r="AF57" s="279">
        <v>162</v>
      </c>
      <c r="AG57" s="279">
        <v>16</v>
      </c>
      <c r="AH57" s="279">
        <v>10</v>
      </c>
      <c r="AI57" s="279"/>
      <c r="AJ57" s="279"/>
      <c r="AK57" s="279"/>
      <c r="AL57" s="279"/>
      <c r="AM57" s="279"/>
      <c r="AN57" s="279"/>
      <c r="AO57" s="279"/>
      <c r="AP57" s="279"/>
      <c r="AQ57" s="279"/>
      <c r="AR57" s="279"/>
      <c r="AS57" s="279"/>
      <c r="AT57" s="279"/>
      <c r="AU57" s="279"/>
      <c r="AV57" s="279"/>
      <c r="AW57" s="279"/>
      <c r="AX57" s="279"/>
      <c r="AY57" s="279"/>
    </row>
    <row r="58" spans="1:54">
      <c r="A58" s="283" t="s">
        <v>49</v>
      </c>
      <c r="B58" s="284">
        <v>23</v>
      </c>
      <c r="C58" s="283" t="s">
        <v>74</v>
      </c>
      <c r="D58" s="283" t="s">
        <v>19</v>
      </c>
      <c r="E58" s="284" t="s">
        <v>314</v>
      </c>
      <c r="F58" s="283">
        <v>2021</v>
      </c>
      <c r="G58" s="279">
        <v>9384</v>
      </c>
      <c r="H58" s="279">
        <v>3535</v>
      </c>
      <c r="I58" s="279">
        <v>5849</v>
      </c>
      <c r="J58" s="279">
        <v>28166</v>
      </c>
      <c r="K58" s="279">
        <v>113</v>
      </c>
      <c r="L58" s="279">
        <v>14</v>
      </c>
      <c r="M58" s="279">
        <v>27</v>
      </c>
      <c r="N58" s="279">
        <v>8408</v>
      </c>
      <c r="O58" s="279">
        <v>89680</v>
      </c>
      <c r="P58" s="279">
        <v>3727</v>
      </c>
      <c r="Q58" s="279">
        <v>8623</v>
      </c>
      <c r="R58" s="279">
        <v>2092</v>
      </c>
      <c r="S58" s="279">
        <v>1124</v>
      </c>
      <c r="T58" s="279">
        <v>8252</v>
      </c>
      <c r="U58" s="279">
        <v>3139</v>
      </c>
      <c r="V58" s="279">
        <v>2052</v>
      </c>
      <c r="W58" s="279">
        <v>2199</v>
      </c>
      <c r="X58" s="279">
        <v>1966</v>
      </c>
      <c r="Y58" s="279">
        <v>9384</v>
      </c>
      <c r="Z58" s="279">
        <v>107467606.17</v>
      </c>
      <c r="AA58" s="279">
        <v>406</v>
      </c>
      <c r="AB58" s="279">
        <v>771</v>
      </c>
      <c r="AC58" s="279">
        <v>6838</v>
      </c>
      <c r="AD58" s="279">
        <v>63</v>
      </c>
      <c r="AE58" s="279">
        <v>13</v>
      </c>
      <c r="AF58" s="279">
        <v>61</v>
      </c>
      <c r="AG58" s="279">
        <v>367</v>
      </c>
      <c r="AH58" s="279">
        <v>119</v>
      </c>
      <c r="AI58" s="279"/>
      <c r="AJ58" s="279"/>
      <c r="AK58" s="279"/>
      <c r="AL58" s="279"/>
      <c r="AM58" s="279"/>
      <c r="AN58" s="279"/>
      <c r="AO58" s="279"/>
      <c r="AP58" s="279"/>
      <c r="AQ58" s="279"/>
      <c r="AR58" s="279"/>
      <c r="AS58" s="279"/>
      <c r="AT58" s="279"/>
      <c r="AU58" s="279"/>
      <c r="AV58" s="279"/>
      <c r="AW58" s="279"/>
      <c r="AX58" s="279"/>
      <c r="AY58" s="279"/>
    </row>
    <row r="59" spans="1:54">
      <c r="A59" s="283" t="s">
        <v>49</v>
      </c>
      <c r="B59" s="284">
        <v>24</v>
      </c>
      <c r="C59" s="283" t="s">
        <v>75</v>
      </c>
      <c r="D59" s="283" t="s">
        <v>20</v>
      </c>
      <c r="E59" s="284" t="s">
        <v>314</v>
      </c>
      <c r="F59" s="283">
        <v>2021</v>
      </c>
      <c r="G59" s="279">
        <v>4786</v>
      </c>
      <c r="H59" s="279">
        <v>1842</v>
      </c>
      <c r="I59" s="279">
        <v>2944</v>
      </c>
      <c r="J59" s="279">
        <v>46971</v>
      </c>
      <c r="K59" s="279">
        <v>98</v>
      </c>
      <c r="L59" s="279">
        <v>26</v>
      </c>
      <c r="M59" s="279">
        <v>25</v>
      </c>
      <c r="N59" s="279">
        <v>4318</v>
      </c>
      <c r="O59" s="279">
        <v>155782</v>
      </c>
      <c r="P59" s="279">
        <v>2087</v>
      </c>
      <c r="Q59" s="279">
        <v>4774</v>
      </c>
      <c r="R59" s="279">
        <v>1131</v>
      </c>
      <c r="S59" s="279">
        <v>1127</v>
      </c>
      <c r="T59" s="279">
        <v>4286</v>
      </c>
      <c r="U59" s="279">
        <v>1930</v>
      </c>
      <c r="V59" s="279">
        <v>1099</v>
      </c>
      <c r="W59" s="279">
        <v>1483</v>
      </c>
      <c r="X59" s="279">
        <v>1422</v>
      </c>
      <c r="Y59" s="279">
        <v>4786</v>
      </c>
      <c r="Z59" s="279">
        <v>95196960.980000004</v>
      </c>
      <c r="AA59" s="279">
        <v>234</v>
      </c>
      <c r="AB59" s="279">
        <v>427</v>
      </c>
      <c r="AC59" s="279">
        <v>1169</v>
      </c>
      <c r="AD59" s="279">
        <v>193</v>
      </c>
      <c r="AE59" s="279">
        <v>701</v>
      </c>
      <c r="AF59" s="279">
        <v>702</v>
      </c>
      <c r="AG59" s="279">
        <v>285</v>
      </c>
      <c r="AH59" s="279">
        <v>153</v>
      </c>
      <c r="AI59" s="279"/>
      <c r="AJ59" s="279"/>
      <c r="AK59" s="279"/>
      <c r="AL59" s="279"/>
      <c r="AM59" s="279"/>
      <c r="AN59" s="279"/>
      <c r="AO59" s="279"/>
      <c r="AP59" s="279"/>
      <c r="AQ59" s="279"/>
      <c r="AR59" s="279"/>
      <c r="AS59" s="279"/>
      <c r="AT59" s="279"/>
      <c r="AU59" s="279"/>
      <c r="AV59" s="279"/>
      <c r="AW59" s="279"/>
      <c r="AX59" s="279"/>
      <c r="AY59" s="279"/>
    </row>
    <row r="60" spans="1:54">
      <c r="A60" s="283" t="s">
        <v>49</v>
      </c>
      <c r="B60" s="284">
        <v>25</v>
      </c>
      <c r="C60" s="283" t="s">
        <v>76</v>
      </c>
      <c r="D60" s="283" t="s">
        <v>21</v>
      </c>
      <c r="E60" s="284" t="s">
        <v>314</v>
      </c>
      <c r="F60" s="283">
        <v>2021</v>
      </c>
      <c r="G60" s="279">
        <v>7922</v>
      </c>
      <c r="H60" s="279">
        <v>2930</v>
      </c>
      <c r="I60" s="279">
        <v>4992</v>
      </c>
      <c r="J60" s="279">
        <v>48285</v>
      </c>
      <c r="K60" s="279">
        <v>236</v>
      </c>
      <c r="L60" s="279">
        <v>72</v>
      </c>
      <c r="M60" s="279">
        <v>40</v>
      </c>
      <c r="N60" s="279">
        <v>7167</v>
      </c>
      <c r="O60" s="279">
        <v>165565</v>
      </c>
      <c r="P60" s="279">
        <v>3135</v>
      </c>
      <c r="Q60" s="279">
        <v>8184</v>
      </c>
      <c r="R60" s="279">
        <v>2057</v>
      </c>
      <c r="S60" s="279">
        <v>1583</v>
      </c>
      <c r="T60" s="279">
        <v>7385</v>
      </c>
      <c r="U60" s="279">
        <v>3373</v>
      </c>
      <c r="V60" s="279">
        <v>1961</v>
      </c>
      <c r="W60" s="279">
        <v>2478</v>
      </c>
      <c r="X60" s="279">
        <v>2471</v>
      </c>
      <c r="Y60" s="279">
        <v>7922</v>
      </c>
      <c r="Z60" s="279">
        <v>299164453</v>
      </c>
      <c r="AA60" s="279">
        <v>482</v>
      </c>
      <c r="AB60" s="279">
        <v>1117</v>
      </c>
      <c r="AC60" s="279">
        <v>190</v>
      </c>
      <c r="AD60" s="279">
        <v>246</v>
      </c>
      <c r="AE60" s="279">
        <v>157</v>
      </c>
      <c r="AF60" s="279">
        <v>283</v>
      </c>
      <c r="AG60" s="279">
        <v>0</v>
      </c>
      <c r="AH60" s="279">
        <v>0</v>
      </c>
      <c r="AI60" s="279"/>
      <c r="AJ60" s="279"/>
      <c r="AK60" s="279"/>
      <c r="AL60" s="279"/>
      <c r="AM60" s="279"/>
      <c r="AN60" s="279"/>
      <c r="AO60" s="279"/>
      <c r="AP60" s="279"/>
      <c r="AQ60" s="279"/>
      <c r="AR60" s="279"/>
      <c r="AS60" s="279"/>
      <c r="AT60" s="279"/>
      <c r="AU60" s="279"/>
      <c r="AV60" s="279"/>
      <c r="AW60" s="279"/>
      <c r="AX60" s="279"/>
      <c r="AY60" s="279"/>
    </row>
    <row r="61" spans="1:54">
      <c r="A61" s="283" t="s">
        <v>49</v>
      </c>
      <c r="B61" s="284">
        <v>26</v>
      </c>
      <c r="C61" s="283" t="s">
        <v>77</v>
      </c>
      <c r="D61" s="283" t="s">
        <v>22</v>
      </c>
      <c r="E61" s="284" t="s">
        <v>314</v>
      </c>
      <c r="F61" s="283">
        <v>2021</v>
      </c>
      <c r="G61" s="279">
        <v>15407</v>
      </c>
      <c r="H61" s="279">
        <v>5630</v>
      </c>
      <c r="I61" s="279">
        <v>9777</v>
      </c>
      <c r="J61" s="279">
        <v>48473</v>
      </c>
      <c r="K61" s="279">
        <v>266</v>
      </c>
      <c r="L61" s="279">
        <v>49</v>
      </c>
      <c r="M61" s="279">
        <v>45</v>
      </c>
      <c r="N61" s="279">
        <v>13850</v>
      </c>
      <c r="O61" s="279">
        <v>160673</v>
      </c>
      <c r="P61" s="279">
        <v>5655</v>
      </c>
      <c r="Q61" s="279">
        <v>15455</v>
      </c>
      <c r="R61" s="279">
        <v>3082</v>
      </c>
      <c r="S61" s="279">
        <v>4215</v>
      </c>
      <c r="T61" s="279">
        <v>13992</v>
      </c>
      <c r="U61" s="279">
        <v>5940</v>
      </c>
      <c r="V61" s="279">
        <v>2909</v>
      </c>
      <c r="W61" s="279">
        <v>3099</v>
      </c>
      <c r="X61" s="279">
        <v>1844</v>
      </c>
      <c r="Y61" s="279">
        <v>15407</v>
      </c>
      <c r="Z61" s="279">
        <v>248294291.78</v>
      </c>
      <c r="AA61" s="279">
        <v>552</v>
      </c>
      <c r="AB61" s="279">
        <v>857</v>
      </c>
      <c r="AC61" s="279">
        <v>943</v>
      </c>
      <c r="AD61" s="279">
        <v>99</v>
      </c>
      <c r="AE61" s="279">
        <v>42</v>
      </c>
      <c r="AF61" s="279">
        <v>50</v>
      </c>
      <c r="AG61" s="279">
        <v>11</v>
      </c>
      <c r="AH61" s="279">
        <v>11</v>
      </c>
      <c r="AI61" s="279"/>
      <c r="AJ61" s="279"/>
      <c r="AK61" s="279"/>
      <c r="AL61" s="279"/>
      <c r="AM61" s="279"/>
      <c r="AN61" s="279"/>
      <c r="AO61" s="279"/>
      <c r="AP61" s="279"/>
      <c r="AQ61" s="279"/>
      <c r="AR61" s="279"/>
      <c r="AS61" s="279"/>
      <c r="AT61" s="279"/>
      <c r="AU61" s="279"/>
      <c r="AV61" s="279"/>
      <c r="AW61" s="279"/>
      <c r="AX61" s="279"/>
      <c r="AY61" s="279"/>
    </row>
    <row r="62" spans="1:54">
      <c r="A62" s="283" t="s">
        <v>49</v>
      </c>
      <c r="B62" s="284">
        <v>27</v>
      </c>
      <c r="C62" s="283" t="s">
        <v>78</v>
      </c>
      <c r="D62" s="283" t="s">
        <v>23</v>
      </c>
      <c r="E62" s="284" t="s">
        <v>314</v>
      </c>
      <c r="F62" s="283">
        <v>2021</v>
      </c>
      <c r="G62" s="279">
        <v>5431</v>
      </c>
      <c r="H62" s="279">
        <v>2038</v>
      </c>
      <c r="I62" s="279">
        <v>3393</v>
      </c>
      <c r="J62" s="279">
        <v>43745</v>
      </c>
      <c r="K62" s="279">
        <v>90</v>
      </c>
      <c r="L62" s="279">
        <v>27</v>
      </c>
      <c r="M62" s="279">
        <v>21</v>
      </c>
      <c r="N62" s="279">
        <v>4981</v>
      </c>
      <c r="O62" s="279">
        <v>134923</v>
      </c>
      <c r="P62" s="279">
        <v>2039</v>
      </c>
      <c r="Q62" s="279">
        <v>5252</v>
      </c>
      <c r="R62" s="279">
        <v>1404</v>
      </c>
      <c r="S62" s="279">
        <v>288</v>
      </c>
      <c r="T62" s="279">
        <v>4943</v>
      </c>
      <c r="U62" s="279">
        <v>2062</v>
      </c>
      <c r="V62" s="279">
        <v>1356</v>
      </c>
      <c r="W62" s="279">
        <v>1487</v>
      </c>
      <c r="X62" s="279">
        <v>1462</v>
      </c>
      <c r="Y62" s="279">
        <v>5431</v>
      </c>
      <c r="Z62" s="279">
        <v>125298553.3</v>
      </c>
      <c r="AA62" s="279">
        <v>295</v>
      </c>
      <c r="AB62" s="279">
        <v>484</v>
      </c>
      <c r="AC62" s="279">
        <v>27</v>
      </c>
      <c r="AD62" s="279">
        <v>19</v>
      </c>
      <c r="AE62" s="279">
        <v>88</v>
      </c>
      <c r="AF62" s="279">
        <v>110</v>
      </c>
      <c r="AG62" s="279">
        <v>53</v>
      </c>
      <c r="AH62" s="279">
        <v>53</v>
      </c>
      <c r="AI62" s="279"/>
      <c r="AJ62" s="279"/>
      <c r="AK62" s="279"/>
      <c r="AL62" s="279"/>
      <c r="AM62" s="279"/>
      <c r="AN62" s="279"/>
      <c r="AO62" s="279"/>
      <c r="AP62" s="279"/>
      <c r="AQ62" s="279"/>
      <c r="AR62" s="279"/>
      <c r="AS62" s="279"/>
      <c r="AT62" s="279"/>
      <c r="AU62" s="279"/>
      <c r="AV62" s="279"/>
      <c r="AW62" s="279"/>
      <c r="AX62" s="279"/>
      <c r="AY62" s="279"/>
    </row>
    <row r="63" spans="1:54">
      <c r="A63" s="283" t="s">
        <v>49</v>
      </c>
      <c r="B63" s="284">
        <v>28</v>
      </c>
      <c r="C63" s="283" t="s">
        <v>79</v>
      </c>
      <c r="D63" s="283" t="s">
        <v>24</v>
      </c>
      <c r="E63" s="284" t="s">
        <v>314</v>
      </c>
      <c r="F63" s="283">
        <v>2021</v>
      </c>
      <c r="G63" s="279">
        <v>6916</v>
      </c>
      <c r="H63" s="279">
        <v>2568</v>
      </c>
      <c r="I63" s="279">
        <v>4348</v>
      </c>
      <c r="J63" s="279">
        <v>55743</v>
      </c>
      <c r="K63" s="279">
        <v>164</v>
      </c>
      <c r="L63" s="279">
        <v>29</v>
      </c>
      <c r="M63" s="279">
        <v>43</v>
      </c>
      <c r="N63" s="279">
        <v>6422</v>
      </c>
      <c r="O63" s="279">
        <v>188646</v>
      </c>
      <c r="P63" s="279">
        <v>2764</v>
      </c>
      <c r="Q63" s="279">
        <v>7597</v>
      </c>
      <c r="R63" s="279">
        <v>1875</v>
      </c>
      <c r="S63" s="279">
        <v>849</v>
      </c>
      <c r="T63" s="279">
        <v>6748</v>
      </c>
      <c r="U63" s="279">
        <v>3183</v>
      </c>
      <c r="V63" s="279">
        <v>1780</v>
      </c>
      <c r="W63" s="279">
        <v>1904</v>
      </c>
      <c r="X63" s="279">
        <v>1898</v>
      </c>
      <c r="Y63" s="279">
        <v>6916</v>
      </c>
      <c r="Z63" s="279">
        <v>190490914.06</v>
      </c>
      <c r="AA63" s="279">
        <v>368</v>
      </c>
      <c r="AB63" s="279">
        <v>1077</v>
      </c>
      <c r="AC63" s="279">
        <v>2941</v>
      </c>
      <c r="AD63" s="279">
        <v>96</v>
      </c>
      <c r="AE63" s="279">
        <v>95</v>
      </c>
      <c r="AF63" s="279">
        <v>103</v>
      </c>
      <c r="AG63" s="279">
        <v>47</v>
      </c>
      <c r="AH63" s="279">
        <v>47</v>
      </c>
      <c r="AI63" s="279">
        <v>22</v>
      </c>
      <c r="AJ63" s="279"/>
      <c r="AK63" s="279"/>
      <c r="AL63" s="279"/>
      <c r="AM63" s="279"/>
      <c r="AN63" s="279"/>
      <c r="AO63" s="279"/>
      <c r="AP63" s="279"/>
      <c r="AQ63" s="279"/>
      <c r="AR63" s="279"/>
      <c r="AS63" s="279"/>
      <c r="AT63" s="279"/>
      <c r="AU63" s="279"/>
      <c r="AV63" s="279"/>
      <c r="AW63" s="279"/>
      <c r="AX63" s="279"/>
      <c r="AY63" s="279"/>
    </row>
    <row r="64" spans="1:54">
      <c r="A64" s="283" t="s">
        <v>49</v>
      </c>
      <c r="B64" s="284">
        <v>29</v>
      </c>
      <c r="C64" s="283" t="s">
        <v>80</v>
      </c>
      <c r="D64" s="283" t="s">
        <v>25</v>
      </c>
      <c r="E64" s="284" t="s">
        <v>314</v>
      </c>
      <c r="F64" s="283">
        <v>2021</v>
      </c>
      <c r="G64" s="279">
        <v>3146</v>
      </c>
      <c r="H64" s="279">
        <v>1121</v>
      </c>
      <c r="I64" s="279">
        <v>2025</v>
      </c>
      <c r="J64" s="279">
        <v>24231</v>
      </c>
      <c r="K64" s="279">
        <v>49</v>
      </c>
      <c r="L64" s="279">
        <v>18</v>
      </c>
      <c r="M64" s="279">
        <v>15</v>
      </c>
      <c r="N64" s="279">
        <v>2953</v>
      </c>
      <c r="O64" s="279">
        <v>74880</v>
      </c>
      <c r="P64" s="279">
        <v>1206</v>
      </c>
      <c r="Q64" s="279">
        <v>3179</v>
      </c>
      <c r="R64" s="279">
        <v>789</v>
      </c>
      <c r="S64" s="279">
        <v>328</v>
      </c>
      <c r="T64" s="279">
        <v>2908</v>
      </c>
      <c r="U64" s="279">
        <v>1170</v>
      </c>
      <c r="V64" s="279">
        <v>765</v>
      </c>
      <c r="W64" s="279">
        <v>855</v>
      </c>
      <c r="X64" s="279">
        <v>820</v>
      </c>
      <c r="Y64" s="279">
        <v>3146</v>
      </c>
      <c r="Z64" s="279">
        <v>48788326</v>
      </c>
      <c r="AA64" s="279">
        <v>180</v>
      </c>
      <c r="AB64" s="279">
        <v>455</v>
      </c>
      <c r="AC64" s="279">
        <v>0</v>
      </c>
      <c r="AD64" s="279">
        <v>126</v>
      </c>
      <c r="AE64" s="279">
        <v>17</v>
      </c>
      <c r="AF64" s="279">
        <v>20</v>
      </c>
      <c r="AG64" s="279">
        <v>7</v>
      </c>
      <c r="AH64" s="279">
        <v>0</v>
      </c>
      <c r="AI64" s="279"/>
      <c r="AJ64" s="279"/>
      <c r="AK64" s="279"/>
      <c r="AL64" s="279"/>
      <c r="AM64" s="279"/>
      <c r="AN64" s="279"/>
      <c r="AO64" s="279"/>
      <c r="AP64" s="279"/>
      <c r="AQ64" s="279"/>
      <c r="AR64" s="279"/>
      <c r="AS64" s="279"/>
      <c r="AT64" s="279"/>
      <c r="AU64" s="279"/>
      <c r="AV64" s="279"/>
      <c r="AW64" s="279"/>
      <c r="AX64" s="279"/>
      <c r="AY64" s="279"/>
    </row>
    <row r="65" spans="1:51">
      <c r="A65" s="283" t="s">
        <v>49</v>
      </c>
      <c r="B65" s="284">
        <v>30</v>
      </c>
      <c r="C65" s="283" t="s">
        <v>81</v>
      </c>
      <c r="D65" s="283" t="s">
        <v>53</v>
      </c>
      <c r="E65" s="284" t="s">
        <v>314</v>
      </c>
      <c r="F65" s="283">
        <v>2021</v>
      </c>
      <c r="G65" s="279">
        <v>11461</v>
      </c>
      <c r="H65" s="279">
        <v>4401</v>
      </c>
      <c r="I65" s="279">
        <v>7060</v>
      </c>
      <c r="J65" s="279">
        <v>119949</v>
      </c>
      <c r="K65" s="279">
        <v>172</v>
      </c>
      <c r="L65" s="279">
        <v>44</v>
      </c>
      <c r="M65" s="279">
        <v>74</v>
      </c>
      <c r="N65" s="279">
        <v>10631</v>
      </c>
      <c r="O65" s="279">
        <v>432659</v>
      </c>
      <c r="P65" s="279">
        <v>5251</v>
      </c>
      <c r="Q65" s="279">
        <v>10340</v>
      </c>
      <c r="R65" s="279">
        <v>2477</v>
      </c>
      <c r="S65" s="279">
        <v>1205</v>
      </c>
      <c r="T65" s="279">
        <v>9959</v>
      </c>
      <c r="U65" s="279">
        <v>3279</v>
      </c>
      <c r="V65" s="279">
        <v>2432</v>
      </c>
      <c r="W65" s="279">
        <v>2333</v>
      </c>
      <c r="X65" s="279">
        <v>2161</v>
      </c>
      <c r="Y65" s="279">
        <v>11461</v>
      </c>
      <c r="Z65" s="279">
        <v>263259835</v>
      </c>
      <c r="AA65" s="279">
        <v>565</v>
      </c>
      <c r="AB65" s="279">
        <v>1543</v>
      </c>
      <c r="AC65" s="279">
        <v>4605</v>
      </c>
      <c r="AD65" s="279">
        <v>31</v>
      </c>
      <c r="AE65" s="279">
        <v>69</v>
      </c>
      <c r="AF65" s="279">
        <v>79</v>
      </c>
      <c r="AG65" s="279">
        <v>435</v>
      </c>
      <c r="AH65" s="279">
        <v>424</v>
      </c>
      <c r="AI65" s="279">
        <v>396</v>
      </c>
      <c r="AJ65" s="279"/>
      <c r="AK65" s="279"/>
      <c r="AL65" s="279"/>
      <c r="AM65" s="279"/>
      <c r="AN65" s="279"/>
      <c r="AO65" s="279"/>
      <c r="AP65" s="279"/>
      <c r="AQ65" s="279"/>
      <c r="AR65" s="279"/>
      <c r="AS65" s="279"/>
      <c r="AT65" s="279"/>
      <c r="AU65" s="279"/>
      <c r="AV65" s="279"/>
      <c r="AW65" s="279"/>
      <c r="AX65" s="279"/>
      <c r="AY65" s="279"/>
    </row>
    <row r="66" spans="1:51">
      <c r="A66" s="283" t="s">
        <v>49</v>
      </c>
      <c r="B66" s="284">
        <v>31</v>
      </c>
      <c r="C66" s="283" t="s">
        <v>82</v>
      </c>
      <c r="D66" s="283" t="s">
        <v>26</v>
      </c>
      <c r="E66" s="284" t="s">
        <v>314</v>
      </c>
      <c r="F66" s="283">
        <v>2021</v>
      </c>
      <c r="G66" s="279">
        <v>5289</v>
      </c>
      <c r="H66" s="279">
        <v>1994</v>
      </c>
      <c r="I66" s="279">
        <v>3295</v>
      </c>
      <c r="J66" s="279">
        <v>34755</v>
      </c>
      <c r="K66" s="279">
        <v>69</v>
      </c>
      <c r="L66" s="279">
        <v>14</v>
      </c>
      <c r="M66" s="279">
        <v>18</v>
      </c>
      <c r="N66" s="279">
        <v>4281</v>
      </c>
      <c r="O66" s="279">
        <v>114433</v>
      </c>
      <c r="P66" s="279">
        <v>2180</v>
      </c>
      <c r="Q66" s="279">
        <v>5397</v>
      </c>
      <c r="R66" s="279">
        <v>973</v>
      </c>
      <c r="S66" s="279">
        <v>1559</v>
      </c>
      <c r="T66" s="279">
        <v>4646</v>
      </c>
      <c r="U66" s="279">
        <v>1915</v>
      </c>
      <c r="V66" s="279">
        <v>929</v>
      </c>
      <c r="W66" s="279">
        <v>1234</v>
      </c>
      <c r="X66" s="279">
        <v>998</v>
      </c>
      <c r="Y66" s="279">
        <v>5289</v>
      </c>
      <c r="Z66" s="279">
        <v>125424372</v>
      </c>
      <c r="AA66" s="279">
        <v>264</v>
      </c>
      <c r="AB66" s="279">
        <v>484</v>
      </c>
      <c r="AC66" s="279">
        <v>4243</v>
      </c>
      <c r="AD66" s="279">
        <v>205</v>
      </c>
      <c r="AE66" s="279">
        <v>153</v>
      </c>
      <c r="AF66" s="279">
        <v>261</v>
      </c>
      <c r="AG66" s="279">
        <v>837</v>
      </c>
      <c r="AH66" s="279">
        <v>812</v>
      </c>
      <c r="AI66" s="279"/>
      <c r="AJ66" s="279"/>
      <c r="AK66" s="279"/>
      <c r="AL66" s="279"/>
      <c r="AM66" s="279"/>
      <c r="AN66" s="279"/>
      <c r="AO66" s="279"/>
      <c r="AP66" s="279"/>
      <c r="AQ66" s="279"/>
      <c r="AR66" s="279"/>
      <c r="AS66" s="279"/>
      <c r="AT66" s="279"/>
      <c r="AU66" s="279"/>
      <c r="AV66" s="279"/>
      <c r="AW66" s="279"/>
      <c r="AX66" s="279"/>
      <c r="AY66" s="279"/>
    </row>
    <row r="67" spans="1:51">
      <c r="A67" s="283" t="s">
        <v>49</v>
      </c>
      <c r="B67" s="284">
        <v>32</v>
      </c>
      <c r="C67" s="283" t="s">
        <v>83</v>
      </c>
      <c r="D67" s="283" t="s">
        <v>27</v>
      </c>
      <c r="E67" s="284" t="s">
        <v>314</v>
      </c>
      <c r="F67" s="283">
        <v>2021</v>
      </c>
      <c r="G67" s="279">
        <v>1419</v>
      </c>
      <c r="H67" s="279">
        <v>656</v>
      </c>
      <c r="I67" s="279">
        <v>763</v>
      </c>
      <c r="J67" s="279">
        <v>27155</v>
      </c>
      <c r="K67" s="279">
        <v>60</v>
      </c>
      <c r="L67" s="279">
        <v>21</v>
      </c>
      <c r="M67" s="279">
        <v>7</v>
      </c>
      <c r="N67" s="279">
        <v>1162</v>
      </c>
      <c r="O67" s="279">
        <v>91049</v>
      </c>
      <c r="P67" s="279">
        <v>719</v>
      </c>
      <c r="Q67" s="279">
        <v>1312</v>
      </c>
      <c r="R67" s="279">
        <v>249</v>
      </c>
      <c r="S67" s="279">
        <v>403</v>
      </c>
      <c r="T67" s="279">
        <v>1067</v>
      </c>
      <c r="U67" s="279">
        <v>619</v>
      </c>
      <c r="V67" s="279">
        <v>223</v>
      </c>
      <c r="W67" s="279">
        <v>290</v>
      </c>
      <c r="X67" s="279">
        <v>284</v>
      </c>
      <c r="Y67" s="279">
        <v>1419</v>
      </c>
      <c r="Z67" s="279">
        <v>52455567</v>
      </c>
      <c r="AA67" s="279">
        <v>79</v>
      </c>
      <c r="AB67" s="279">
        <v>197</v>
      </c>
      <c r="AC67" s="279">
        <v>452</v>
      </c>
      <c r="AD67" s="279">
        <v>129</v>
      </c>
      <c r="AE67" s="279">
        <v>61</v>
      </c>
      <c r="AF67" s="279">
        <v>61</v>
      </c>
      <c r="AG67" s="279">
        <v>0</v>
      </c>
      <c r="AH67" s="279">
        <v>0</v>
      </c>
      <c r="AI67" s="279"/>
      <c r="AJ67" s="279"/>
      <c r="AK67" s="279"/>
      <c r="AL67" s="279"/>
      <c r="AM67" s="279"/>
      <c r="AN67" s="279"/>
      <c r="AO67" s="279"/>
      <c r="AP67" s="279"/>
      <c r="AQ67" s="279"/>
      <c r="AR67" s="279"/>
      <c r="AS67" s="279"/>
      <c r="AT67" s="279"/>
      <c r="AU67" s="279"/>
      <c r="AV67" s="279"/>
      <c r="AW67" s="279"/>
      <c r="AX67" s="279"/>
      <c r="AY67" s="279"/>
    </row>
    <row r="68" spans="1:51">
      <c r="A68" s="283" t="s">
        <v>124</v>
      </c>
      <c r="B68" s="284">
        <v>33</v>
      </c>
      <c r="C68" s="283" t="s">
        <v>125</v>
      </c>
      <c r="D68" s="283" t="s">
        <v>40</v>
      </c>
      <c r="E68" s="284" t="s">
        <v>314</v>
      </c>
      <c r="F68" s="283">
        <v>2021</v>
      </c>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v>448</v>
      </c>
      <c r="AH68" s="279">
        <v>443</v>
      </c>
      <c r="AI68" s="279"/>
      <c r="AJ68" s="279"/>
      <c r="AK68" s="279"/>
      <c r="AL68" s="279"/>
      <c r="AM68" s="279"/>
      <c r="AN68" s="279"/>
      <c r="AO68" s="279"/>
      <c r="AP68" s="279"/>
      <c r="AQ68" s="279"/>
      <c r="AR68" s="279"/>
      <c r="AS68" s="279"/>
      <c r="AT68" s="279"/>
      <c r="AU68" s="279"/>
      <c r="AV68" s="279"/>
      <c r="AW68" s="279"/>
      <c r="AX68" s="279"/>
      <c r="AY68" s="279"/>
    </row>
    <row r="69" spans="1:51">
      <c r="A69" s="283" t="s">
        <v>50</v>
      </c>
      <c r="B69" s="284">
        <v>0</v>
      </c>
      <c r="C69" s="283" t="s">
        <v>123</v>
      </c>
      <c r="D69" s="283" t="s">
        <v>39</v>
      </c>
      <c r="E69" s="284" t="s">
        <v>314</v>
      </c>
      <c r="F69" s="283">
        <v>2021</v>
      </c>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v>769</v>
      </c>
      <c r="AD69" s="279"/>
      <c r="AE69" s="279"/>
      <c r="AF69" s="279"/>
      <c r="AG69" s="279">
        <v>2785</v>
      </c>
      <c r="AH69" s="279">
        <v>2773</v>
      </c>
      <c r="AI69" s="279"/>
      <c r="AJ69" s="279">
        <v>461057.18076000002</v>
      </c>
      <c r="AK69" s="279">
        <v>1569932.3870000001</v>
      </c>
      <c r="AL69" s="279">
        <v>1597687.4310000001</v>
      </c>
      <c r="AM69" s="279">
        <v>1609932.3870000001</v>
      </c>
      <c r="AN69" s="279">
        <v>1569932.3870000001</v>
      </c>
      <c r="AO69" s="279">
        <v>1569932.3870000001</v>
      </c>
      <c r="AP69" s="279">
        <v>1597687.4310000001</v>
      </c>
      <c r="AQ69" s="279">
        <v>1609932.3870000001</v>
      </c>
      <c r="AR69" s="279">
        <v>0</v>
      </c>
      <c r="AS69" s="279">
        <v>0</v>
      </c>
      <c r="AT69" s="279">
        <v>27755.044000000002</v>
      </c>
      <c r="AU69" s="279">
        <v>1597687.4310000001</v>
      </c>
      <c r="AV69" s="279">
        <v>27668.057000000001</v>
      </c>
      <c r="AW69" s="279">
        <v>40000</v>
      </c>
      <c r="AX69" s="279">
        <v>1422248.821</v>
      </c>
      <c r="AY69" s="279">
        <v>1457643.3670000001</v>
      </c>
    </row>
    <row r="70" spans="1:51">
      <c r="A70" s="30" t="s">
        <v>49</v>
      </c>
      <c r="B70" s="31">
        <v>1</v>
      </c>
      <c r="C70" s="30" t="s">
        <v>54</v>
      </c>
      <c r="D70" s="30" t="s">
        <v>1</v>
      </c>
      <c r="E70" s="30" t="s">
        <v>87</v>
      </c>
      <c r="F70" s="30">
        <v>2012</v>
      </c>
      <c r="G70" s="28">
        <v>4876</v>
      </c>
      <c r="H70" s="28">
        <v>1859</v>
      </c>
      <c r="I70" s="28">
        <v>3017</v>
      </c>
      <c r="J70" s="28">
        <v>20398</v>
      </c>
      <c r="K70" s="28">
        <v>60</v>
      </c>
      <c r="L70" s="28">
        <v>14</v>
      </c>
      <c r="M70" s="28">
        <v>14</v>
      </c>
      <c r="N70" s="28">
        <v>4112</v>
      </c>
      <c r="O70" s="28">
        <v>74697.646290988239</v>
      </c>
      <c r="P70" s="28">
        <v>4668</v>
      </c>
      <c r="Q70" s="28">
        <v>4767</v>
      </c>
      <c r="R70" s="28">
        <v>1103</v>
      </c>
      <c r="S70" s="28"/>
      <c r="T70" s="28"/>
      <c r="U70" s="28">
        <v>1624</v>
      </c>
      <c r="V70" s="28">
        <v>963</v>
      </c>
      <c r="W70" s="28">
        <v>944</v>
      </c>
      <c r="X70" s="28">
        <v>909</v>
      </c>
      <c r="Y70" s="28">
        <v>4876</v>
      </c>
      <c r="Z70" s="28">
        <v>48953729</v>
      </c>
      <c r="AA70" s="28">
        <v>288</v>
      </c>
      <c r="AB70" s="28">
        <v>403</v>
      </c>
      <c r="AC70" s="28">
        <v>6562</v>
      </c>
      <c r="AD70" s="28">
        <v>164</v>
      </c>
      <c r="AE70" s="28"/>
      <c r="AF70" s="28"/>
      <c r="AG70" s="28"/>
      <c r="AH70" s="28"/>
      <c r="AI70" s="28"/>
      <c r="AJ70" s="28"/>
      <c r="AK70" s="28"/>
      <c r="AL70" s="28"/>
      <c r="AM70" s="28"/>
      <c r="AN70" s="28"/>
      <c r="AO70" s="28"/>
      <c r="AP70" s="28"/>
      <c r="AQ70" s="28"/>
      <c r="AR70" s="28"/>
      <c r="AS70" s="28"/>
      <c r="AT70" s="28"/>
      <c r="AU70" s="28"/>
      <c r="AV70" s="28"/>
      <c r="AW70" s="28"/>
      <c r="AX70" s="28"/>
      <c r="AY70" s="28"/>
    </row>
    <row r="71" spans="1:51">
      <c r="A71" s="30" t="s">
        <v>49</v>
      </c>
      <c r="B71" s="31">
        <v>2</v>
      </c>
      <c r="C71" s="30" t="s">
        <v>55</v>
      </c>
      <c r="D71" s="30" t="s">
        <v>3</v>
      </c>
      <c r="E71" s="30" t="s">
        <v>87</v>
      </c>
      <c r="F71" s="30">
        <v>2012</v>
      </c>
      <c r="G71" s="28">
        <v>8368</v>
      </c>
      <c r="H71" s="28">
        <v>3424</v>
      </c>
      <c r="I71" s="28">
        <v>4944</v>
      </c>
      <c r="J71" s="28">
        <v>49802</v>
      </c>
      <c r="K71" s="28">
        <v>119</v>
      </c>
      <c r="L71" s="28">
        <v>21</v>
      </c>
      <c r="M71" s="28">
        <v>25</v>
      </c>
      <c r="N71" s="28">
        <v>6792</v>
      </c>
      <c r="O71" s="28">
        <v>192090.84815481934</v>
      </c>
      <c r="P71" s="28">
        <v>4392</v>
      </c>
      <c r="Q71" s="28">
        <v>8361</v>
      </c>
      <c r="R71" s="28">
        <v>1726</v>
      </c>
      <c r="S71" s="28"/>
      <c r="T71" s="28"/>
      <c r="U71" s="28">
        <v>3324</v>
      </c>
      <c r="V71" s="28">
        <v>1526</v>
      </c>
      <c r="W71" s="28">
        <v>1452</v>
      </c>
      <c r="X71" s="28">
        <v>1402</v>
      </c>
      <c r="Y71" s="28">
        <v>8368</v>
      </c>
      <c r="Z71" s="28">
        <v>107428039</v>
      </c>
      <c r="AA71" s="28">
        <v>404</v>
      </c>
      <c r="AB71" s="28">
        <v>696</v>
      </c>
      <c r="AC71" s="28">
        <v>20418</v>
      </c>
      <c r="AD71" s="28">
        <v>6</v>
      </c>
      <c r="AE71" s="28"/>
      <c r="AF71" s="28"/>
      <c r="AG71" s="28"/>
      <c r="AH71" s="28"/>
      <c r="AI71" s="28">
        <v>2528</v>
      </c>
      <c r="AJ71" s="28"/>
      <c r="AK71" s="28"/>
      <c r="AL71" s="28"/>
      <c r="AM71" s="28"/>
      <c r="AN71" s="28"/>
      <c r="AO71" s="28"/>
      <c r="AP71" s="28"/>
      <c r="AQ71" s="28"/>
      <c r="AR71" s="28"/>
      <c r="AS71" s="28"/>
      <c r="AT71" s="28"/>
      <c r="AU71" s="28"/>
      <c r="AV71" s="28"/>
      <c r="AW71" s="28"/>
      <c r="AX71" s="28"/>
      <c r="AY71" s="28"/>
    </row>
    <row r="72" spans="1:51">
      <c r="A72" s="30" t="s">
        <v>49</v>
      </c>
      <c r="B72" s="31">
        <v>3</v>
      </c>
      <c r="C72" s="30" t="s">
        <v>56</v>
      </c>
      <c r="D72" s="30" t="s">
        <v>4</v>
      </c>
      <c r="E72" s="30" t="s">
        <v>87</v>
      </c>
      <c r="F72" s="30">
        <v>2012</v>
      </c>
      <c r="G72" s="28">
        <v>1902</v>
      </c>
      <c r="H72" s="28">
        <v>858</v>
      </c>
      <c r="I72" s="28">
        <v>1044</v>
      </c>
      <c r="J72" s="28">
        <v>10312</v>
      </c>
      <c r="K72" s="28">
        <v>29</v>
      </c>
      <c r="L72" s="28">
        <v>5</v>
      </c>
      <c r="M72" s="28">
        <v>2</v>
      </c>
      <c r="N72" s="28">
        <v>1482</v>
      </c>
      <c r="O72" s="28">
        <v>37800.625728817657</v>
      </c>
      <c r="P72" s="28">
        <v>1173</v>
      </c>
      <c r="Q72" s="28">
        <v>1691</v>
      </c>
      <c r="R72" s="28">
        <v>450</v>
      </c>
      <c r="S72" s="28"/>
      <c r="T72" s="28"/>
      <c r="U72" s="28">
        <v>813</v>
      </c>
      <c r="V72" s="28">
        <v>420</v>
      </c>
      <c r="W72" s="28">
        <v>361</v>
      </c>
      <c r="X72" s="28">
        <v>337</v>
      </c>
      <c r="Y72" s="28">
        <v>1902</v>
      </c>
      <c r="Z72" s="28">
        <v>26873657</v>
      </c>
      <c r="AA72" s="28">
        <v>86</v>
      </c>
      <c r="AB72" s="28">
        <v>217</v>
      </c>
      <c r="AC72" s="28">
        <v>3026</v>
      </c>
      <c r="AD72" s="28">
        <v>0</v>
      </c>
      <c r="AE72" s="28"/>
      <c r="AF72" s="28"/>
      <c r="AG72" s="28"/>
      <c r="AH72" s="28"/>
      <c r="AI72" s="28"/>
      <c r="AJ72" s="28"/>
      <c r="AK72" s="28"/>
      <c r="AL72" s="28"/>
      <c r="AM72" s="28"/>
      <c r="AN72" s="28"/>
      <c r="AO72" s="28"/>
      <c r="AP72" s="28"/>
      <c r="AQ72" s="28"/>
      <c r="AR72" s="28"/>
      <c r="AS72" s="28"/>
      <c r="AT72" s="28"/>
      <c r="AU72" s="28"/>
      <c r="AV72" s="28"/>
      <c r="AW72" s="28"/>
      <c r="AX72" s="28"/>
      <c r="AY72" s="28"/>
    </row>
    <row r="73" spans="1:51">
      <c r="A73" s="30" t="s">
        <v>49</v>
      </c>
      <c r="B73" s="31">
        <v>4</v>
      </c>
      <c r="C73" s="30" t="s">
        <v>57</v>
      </c>
      <c r="D73" s="30" t="s">
        <v>5</v>
      </c>
      <c r="E73" s="30" t="s">
        <v>87</v>
      </c>
      <c r="F73" s="30">
        <v>2012</v>
      </c>
      <c r="G73" s="28">
        <v>1864</v>
      </c>
      <c r="H73" s="28">
        <v>802</v>
      </c>
      <c r="I73" s="28">
        <v>1062</v>
      </c>
      <c r="J73" s="28">
        <v>12415</v>
      </c>
      <c r="K73" s="28">
        <v>37</v>
      </c>
      <c r="L73" s="28">
        <v>8</v>
      </c>
      <c r="M73" s="28">
        <v>14</v>
      </c>
      <c r="N73" s="28">
        <v>1334</v>
      </c>
      <c r="O73" s="28">
        <v>49910.405898190787</v>
      </c>
      <c r="P73" s="28">
        <v>1018</v>
      </c>
      <c r="Q73" s="28">
        <v>1773</v>
      </c>
      <c r="R73" s="28">
        <v>323</v>
      </c>
      <c r="S73" s="28"/>
      <c r="T73" s="28"/>
      <c r="U73" s="28">
        <v>701</v>
      </c>
      <c r="V73" s="28">
        <v>274</v>
      </c>
      <c r="W73" s="28">
        <v>268</v>
      </c>
      <c r="X73" s="28">
        <v>256</v>
      </c>
      <c r="Y73" s="28">
        <v>1864</v>
      </c>
      <c r="Z73" s="28">
        <v>32707759</v>
      </c>
      <c r="AA73" s="28">
        <v>113</v>
      </c>
      <c r="AB73" s="28">
        <v>264</v>
      </c>
      <c r="AC73" s="28">
        <v>2301</v>
      </c>
      <c r="AD73" s="28">
        <v>68</v>
      </c>
      <c r="AE73" s="28"/>
      <c r="AF73" s="28"/>
      <c r="AG73" s="28"/>
      <c r="AH73" s="28"/>
      <c r="AI73" s="28"/>
      <c r="AJ73" s="28"/>
      <c r="AK73" s="28"/>
      <c r="AL73" s="28"/>
      <c r="AM73" s="28"/>
      <c r="AN73" s="28"/>
      <c r="AO73" s="28"/>
      <c r="AP73" s="28"/>
      <c r="AQ73" s="28"/>
      <c r="AR73" s="28"/>
      <c r="AS73" s="28"/>
      <c r="AT73" s="28"/>
      <c r="AU73" s="28"/>
      <c r="AV73" s="28"/>
      <c r="AW73" s="28"/>
      <c r="AX73" s="28"/>
      <c r="AY73" s="28"/>
    </row>
    <row r="74" spans="1:51">
      <c r="A74" s="30" t="s">
        <v>49</v>
      </c>
      <c r="B74" s="31">
        <v>7</v>
      </c>
      <c r="C74" s="30" t="s">
        <v>58</v>
      </c>
      <c r="D74" s="30" t="s">
        <v>6</v>
      </c>
      <c r="E74" s="30" t="s">
        <v>87</v>
      </c>
      <c r="F74" s="30">
        <v>2012</v>
      </c>
      <c r="G74" s="28">
        <v>7730</v>
      </c>
      <c r="H74" s="28">
        <v>2882</v>
      </c>
      <c r="I74" s="28">
        <v>4848</v>
      </c>
      <c r="J74" s="28">
        <v>85110</v>
      </c>
      <c r="K74" s="28">
        <v>118</v>
      </c>
      <c r="L74" s="28">
        <v>16</v>
      </c>
      <c r="M74" s="28">
        <v>42</v>
      </c>
      <c r="N74" s="28">
        <v>5618</v>
      </c>
      <c r="O74" s="28">
        <v>336550.24744312256</v>
      </c>
      <c r="P74" s="28">
        <v>4214</v>
      </c>
      <c r="Q74" s="28">
        <v>7326</v>
      </c>
      <c r="R74" s="28">
        <v>1395</v>
      </c>
      <c r="S74" s="28"/>
      <c r="T74" s="28"/>
      <c r="U74" s="28">
        <v>2390</v>
      </c>
      <c r="V74" s="28">
        <v>1305</v>
      </c>
      <c r="W74" s="28">
        <v>1230</v>
      </c>
      <c r="X74" s="28">
        <v>1169</v>
      </c>
      <c r="Y74" s="28">
        <v>7730</v>
      </c>
      <c r="Z74" s="28">
        <v>122421262</v>
      </c>
      <c r="AA74" s="28">
        <v>479</v>
      </c>
      <c r="AB74" s="28">
        <v>666</v>
      </c>
      <c r="AC74" s="28">
        <v>5593</v>
      </c>
      <c r="AD74" s="28">
        <v>0</v>
      </c>
      <c r="AE74" s="28"/>
      <c r="AF74" s="28"/>
      <c r="AG74" s="28"/>
      <c r="AH74" s="28"/>
      <c r="AI74" s="28"/>
      <c r="AJ74" s="28"/>
      <c r="AK74" s="28"/>
      <c r="AL74" s="28"/>
      <c r="AM74" s="28"/>
      <c r="AN74" s="28"/>
      <c r="AO74" s="28"/>
      <c r="AP74" s="28"/>
      <c r="AQ74" s="28"/>
      <c r="AR74" s="28"/>
      <c r="AS74" s="28"/>
      <c r="AT74" s="28"/>
      <c r="AU74" s="28"/>
      <c r="AV74" s="28"/>
      <c r="AW74" s="28"/>
      <c r="AX74" s="28"/>
      <c r="AY74" s="28"/>
    </row>
    <row r="75" spans="1:51">
      <c r="A75" s="30" t="s">
        <v>49</v>
      </c>
      <c r="B75" s="31">
        <v>8</v>
      </c>
      <c r="C75" s="30" t="s">
        <v>59</v>
      </c>
      <c r="D75" s="30" t="s">
        <v>7</v>
      </c>
      <c r="E75" s="30" t="s">
        <v>87</v>
      </c>
      <c r="F75" s="30">
        <v>2012</v>
      </c>
      <c r="G75" s="28">
        <v>9183</v>
      </c>
      <c r="H75" s="28">
        <v>4195</v>
      </c>
      <c r="I75" s="28">
        <v>4988</v>
      </c>
      <c r="J75" s="28">
        <v>50851</v>
      </c>
      <c r="K75" s="28">
        <v>136</v>
      </c>
      <c r="L75" s="28">
        <v>20</v>
      </c>
      <c r="M75" s="28">
        <v>36</v>
      </c>
      <c r="N75" s="28">
        <v>7611</v>
      </c>
      <c r="O75" s="28">
        <v>201025.68902505681</v>
      </c>
      <c r="P75" s="28">
        <v>5056</v>
      </c>
      <c r="Q75" s="28">
        <v>8606</v>
      </c>
      <c r="R75" s="28">
        <v>1685</v>
      </c>
      <c r="S75" s="28"/>
      <c r="T75" s="28"/>
      <c r="U75" s="28">
        <v>3172</v>
      </c>
      <c r="V75" s="28">
        <v>1499</v>
      </c>
      <c r="W75" s="28">
        <v>1626</v>
      </c>
      <c r="X75" s="28">
        <v>1561</v>
      </c>
      <c r="Y75" s="28">
        <v>9183</v>
      </c>
      <c r="Z75" s="28">
        <v>117528205</v>
      </c>
      <c r="AA75" s="28">
        <v>573</v>
      </c>
      <c r="AB75" s="28">
        <v>866</v>
      </c>
      <c r="AC75" s="28">
        <v>17438</v>
      </c>
      <c r="AD75" s="28">
        <v>429</v>
      </c>
      <c r="AE75" s="28"/>
      <c r="AF75" s="28"/>
      <c r="AG75" s="28"/>
      <c r="AH75" s="28"/>
      <c r="AI75" s="28">
        <v>1190</v>
      </c>
      <c r="AJ75" s="28"/>
      <c r="AK75" s="28"/>
      <c r="AL75" s="28"/>
      <c r="AM75" s="28"/>
      <c r="AN75" s="28"/>
      <c r="AO75" s="28"/>
      <c r="AP75" s="28"/>
      <c r="AQ75" s="28"/>
      <c r="AR75" s="28"/>
      <c r="AS75" s="28"/>
      <c r="AT75" s="28"/>
      <c r="AU75" s="28"/>
      <c r="AV75" s="28"/>
      <c r="AW75" s="28"/>
      <c r="AX75" s="28"/>
      <c r="AY75" s="28"/>
    </row>
    <row r="76" spans="1:51">
      <c r="A76" s="30" t="s">
        <v>50</v>
      </c>
      <c r="B76" s="31">
        <v>9</v>
      </c>
      <c r="C76" s="30" t="s">
        <v>84</v>
      </c>
      <c r="D76" s="30" t="s">
        <v>32</v>
      </c>
      <c r="E76" s="30" t="s">
        <v>87</v>
      </c>
      <c r="F76" s="30">
        <v>2012</v>
      </c>
      <c r="G76" s="28">
        <v>43673</v>
      </c>
      <c r="H76" s="28">
        <v>17932</v>
      </c>
      <c r="I76" s="28">
        <v>25741</v>
      </c>
      <c r="J76" s="28">
        <v>130411</v>
      </c>
      <c r="K76" s="28">
        <v>537</v>
      </c>
      <c r="L76" s="28">
        <v>95</v>
      </c>
      <c r="M76" s="28">
        <v>175</v>
      </c>
      <c r="N76" s="28">
        <v>32353</v>
      </c>
      <c r="O76" s="28">
        <v>423138.95799915184</v>
      </c>
      <c r="P76" s="28">
        <v>23573</v>
      </c>
      <c r="Q76" s="28">
        <v>44765</v>
      </c>
      <c r="R76" s="28">
        <v>8530</v>
      </c>
      <c r="S76" s="28"/>
      <c r="T76" s="28"/>
      <c r="U76" s="28">
        <v>19638</v>
      </c>
      <c r="V76" s="28">
        <v>7474</v>
      </c>
      <c r="W76" s="28">
        <v>7037</v>
      </c>
      <c r="X76" s="28">
        <v>4977</v>
      </c>
      <c r="Y76" s="28"/>
      <c r="Z76" s="28"/>
      <c r="AA76" s="28">
        <v>2203</v>
      </c>
      <c r="AB76" s="28">
        <v>3057</v>
      </c>
      <c r="AC76" s="28">
        <v>22808</v>
      </c>
      <c r="AD76" s="28">
        <v>201</v>
      </c>
      <c r="AE76" s="28"/>
      <c r="AF76" s="28"/>
      <c r="AG76" s="28"/>
      <c r="AH76" s="28"/>
      <c r="AI76" s="28"/>
      <c r="AJ76" s="28"/>
      <c r="AK76" s="28"/>
      <c r="AL76" s="28"/>
      <c r="AM76" s="28"/>
      <c r="AN76" s="28"/>
      <c r="AO76" s="28"/>
      <c r="AP76" s="28"/>
      <c r="AQ76" s="28"/>
      <c r="AR76" s="28"/>
      <c r="AS76" s="28"/>
      <c r="AT76" s="28"/>
      <c r="AU76" s="28"/>
      <c r="AV76" s="28"/>
      <c r="AW76" s="28"/>
      <c r="AX76" s="28"/>
      <c r="AY76" s="28"/>
    </row>
    <row r="77" spans="1:51">
      <c r="A77" s="30" t="s">
        <v>49</v>
      </c>
      <c r="B77" s="31">
        <v>5</v>
      </c>
      <c r="C77" s="30" t="s">
        <v>60</v>
      </c>
      <c r="D77" s="30" t="s">
        <v>31</v>
      </c>
      <c r="E77" s="30" t="s">
        <v>87</v>
      </c>
      <c r="F77" s="30">
        <v>2012</v>
      </c>
      <c r="G77" s="28">
        <v>8071</v>
      </c>
      <c r="H77" s="28">
        <v>3210</v>
      </c>
      <c r="I77" s="28">
        <v>4861</v>
      </c>
      <c r="J77" s="28">
        <v>40260</v>
      </c>
      <c r="K77" s="28">
        <v>133</v>
      </c>
      <c r="L77" s="28">
        <v>31</v>
      </c>
      <c r="M77" s="28">
        <v>42</v>
      </c>
      <c r="N77" s="28">
        <v>7126</v>
      </c>
      <c r="O77" s="28">
        <v>162290.780422715</v>
      </c>
      <c r="P77" s="28">
        <v>5111</v>
      </c>
      <c r="Q77" s="28">
        <v>7911</v>
      </c>
      <c r="R77" s="28">
        <v>1734</v>
      </c>
      <c r="S77" s="28"/>
      <c r="T77" s="28"/>
      <c r="U77" s="28">
        <v>3118</v>
      </c>
      <c r="V77" s="28">
        <v>1594</v>
      </c>
      <c r="W77" s="28">
        <v>1643</v>
      </c>
      <c r="X77" s="28">
        <v>1635</v>
      </c>
      <c r="Y77" s="28">
        <v>8071</v>
      </c>
      <c r="Z77" s="28">
        <v>116866888</v>
      </c>
      <c r="AA77" s="28">
        <v>438</v>
      </c>
      <c r="AB77" s="28">
        <v>774</v>
      </c>
      <c r="AC77" s="28">
        <v>13884</v>
      </c>
      <c r="AD77" s="28">
        <v>104</v>
      </c>
      <c r="AE77" s="28"/>
      <c r="AF77" s="28"/>
      <c r="AG77" s="28"/>
      <c r="AH77" s="28"/>
      <c r="AI77" s="28"/>
      <c r="AJ77" s="28"/>
      <c r="AK77" s="28"/>
      <c r="AL77" s="28"/>
      <c r="AM77" s="28"/>
      <c r="AN77" s="28"/>
      <c r="AO77" s="28"/>
      <c r="AP77" s="28"/>
      <c r="AQ77" s="28"/>
      <c r="AR77" s="28"/>
      <c r="AS77" s="28"/>
      <c r="AT77" s="28"/>
      <c r="AU77" s="28"/>
      <c r="AV77" s="28"/>
      <c r="AW77" s="28"/>
      <c r="AX77" s="28"/>
      <c r="AY77" s="28"/>
    </row>
    <row r="78" spans="1:51">
      <c r="A78" s="30" t="s">
        <v>49</v>
      </c>
      <c r="B78" s="31">
        <v>6</v>
      </c>
      <c r="C78" s="30" t="s">
        <v>61</v>
      </c>
      <c r="D78" s="30" t="s">
        <v>8</v>
      </c>
      <c r="E78" s="30" t="s">
        <v>87</v>
      </c>
      <c r="F78" s="30">
        <v>2012</v>
      </c>
      <c r="G78" s="28">
        <v>1864</v>
      </c>
      <c r="H78" s="28">
        <v>837</v>
      </c>
      <c r="I78" s="28">
        <v>1027</v>
      </c>
      <c r="J78" s="28">
        <v>9463</v>
      </c>
      <c r="K78" s="28">
        <v>33</v>
      </c>
      <c r="L78" s="28">
        <v>5</v>
      </c>
      <c r="M78" s="28">
        <v>10</v>
      </c>
      <c r="N78" s="28">
        <v>1145</v>
      </c>
      <c r="O78" s="28">
        <v>37652.050005981437</v>
      </c>
      <c r="P78" s="28">
        <v>1083</v>
      </c>
      <c r="Q78" s="28">
        <v>1765</v>
      </c>
      <c r="R78" s="28">
        <v>324</v>
      </c>
      <c r="S78" s="28"/>
      <c r="T78" s="28"/>
      <c r="U78" s="28">
        <v>659</v>
      </c>
      <c r="V78" s="28">
        <v>299</v>
      </c>
      <c r="W78" s="28">
        <v>239</v>
      </c>
      <c r="X78" s="28">
        <v>211</v>
      </c>
      <c r="Y78" s="28">
        <v>1864</v>
      </c>
      <c r="Z78" s="28">
        <v>33361684</v>
      </c>
      <c r="AA78" s="28">
        <v>131</v>
      </c>
      <c r="AB78" s="28">
        <v>258</v>
      </c>
      <c r="AC78" s="28">
        <v>4285</v>
      </c>
      <c r="AD78" s="28">
        <v>25</v>
      </c>
      <c r="AE78" s="28"/>
      <c r="AF78" s="28"/>
      <c r="AG78" s="28"/>
      <c r="AH78" s="28"/>
      <c r="AI78" s="28"/>
      <c r="AJ78" s="28"/>
      <c r="AK78" s="28"/>
      <c r="AL78" s="28"/>
      <c r="AM78" s="28"/>
      <c r="AN78" s="28"/>
      <c r="AO78" s="28"/>
      <c r="AP78" s="28"/>
      <c r="AQ78" s="28"/>
      <c r="AR78" s="28"/>
      <c r="AS78" s="28"/>
      <c r="AT78" s="28"/>
      <c r="AU78" s="28"/>
      <c r="AV78" s="28"/>
      <c r="AW78" s="28"/>
      <c r="AX78" s="28"/>
      <c r="AY78" s="28"/>
    </row>
    <row r="79" spans="1:51">
      <c r="A79" s="30" t="s">
        <v>49</v>
      </c>
      <c r="B79" s="31">
        <v>10</v>
      </c>
      <c r="C79" s="30" t="s">
        <v>62</v>
      </c>
      <c r="D79" s="30" t="s">
        <v>9</v>
      </c>
      <c r="E79" s="30" t="s">
        <v>87</v>
      </c>
      <c r="F79" s="30">
        <v>2012</v>
      </c>
      <c r="G79" s="28">
        <v>2386</v>
      </c>
      <c r="H79" s="28">
        <v>1103</v>
      </c>
      <c r="I79" s="28">
        <v>1283</v>
      </c>
      <c r="J79" s="28">
        <v>26707</v>
      </c>
      <c r="K79" s="28">
        <v>46</v>
      </c>
      <c r="L79" s="28">
        <v>14</v>
      </c>
      <c r="M79" s="28">
        <v>12</v>
      </c>
      <c r="N79" s="28">
        <v>1984</v>
      </c>
      <c r="O79" s="28">
        <v>103877.16130392933</v>
      </c>
      <c r="P79" s="28">
        <v>1409</v>
      </c>
      <c r="Q79" s="28">
        <v>2350</v>
      </c>
      <c r="R79" s="28">
        <v>420</v>
      </c>
      <c r="S79" s="28"/>
      <c r="T79" s="28"/>
      <c r="U79" s="28">
        <v>1057</v>
      </c>
      <c r="V79" s="28">
        <v>389</v>
      </c>
      <c r="W79" s="28">
        <v>414</v>
      </c>
      <c r="X79" s="28">
        <v>346</v>
      </c>
      <c r="Y79" s="28">
        <v>2386</v>
      </c>
      <c r="Z79" s="28">
        <v>31954556</v>
      </c>
      <c r="AA79" s="28">
        <v>163</v>
      </c>
      <c r="AB79" s="28">
        <v>254</v>
      </c>
      <c r="AC79" s="28">
        <v>9014</v>
      </c>
      <c r="AD79" s="28">
        <v>63</v>
      </c>
      <c r="AE79" s="28"/>
      <c r="AF79" s="28"/>
      <c r="AG79" s="28"/>
      <c r="AH79" s="28"/>
      <c r="AI79" s="28"/>
      <c r="AJ79" s="28"/>
      <c r="AK79" s="28"/>
      <c r="AL79" s="28"/>
      <c r="AM79" s="28"/>
      <c r="AN79" s="28"/>
      <c r="AO79" s="28"/>
      <c r="AP79" s="28"/>
      <c r="AQ79" s="28"/>
      <c r="AR79" s="28"/>
      <c r="AS79" s="28"/>
      <c r="AT79" s="28"/>
      <c r="AU79" s="28"/>
      <c r="AV79" s="28"/>
      <c r="AW79" s="28"/>
      <c r="AX79" s="28"/>
      <c r="AY79" s="28"/>
    </row>
    <row r="80" spans="1:51">
      <c r="A80" s="30" t="s">
        <v>49</v>
      </c>
      <c r="B80" s="31">
        <v>11</v>
      </c>
      <c r="C80" s="30" t="s">
        <v>63</v>
      </c>
      <c r="D80" s="30" t="s">
        <v>10</v>
      </c>
      <c r="E80" s="30" t="s">
        <v>87</v>
      </c>
      <c r="F80" s="30">
        <v>2012</v>
      </c>
      <c r="G80" s="28">
        <v>16619</v>
      </c>
      <c r="H80" s="28">
        <v>6715</v>
      </c>
      <c r="I80" s="28">
        <v>9904</v>
      </c>
      <c r="J80" s="28">
        <v>90823</v>
      </c>
      <c r="K80" s="28">
        <v>218</v>
      </c>
      <c r="L80" s="28">
        <v>51</v>
      </c>
      <c r="M80" s="28">
        <v>74</v>
      </c>
      <c r="N80" s="28">
        <v>14073</v>
      </c>
      <c r="O80" s="28">
        <v>350740.06544113893</v>
      </c>
      <c r="P80" s="28">
        <v>10612</v>
      </c>
      <c r="Q80" s="28">
        <v>15961</v>
      </c>
      <c r="R80" s="28">
        <v>3801</v>
      </c>
      <c r="S80" s="28"/>
      <c r="T80" s="28"/>
      <c r="U80" s="28">
        <v>5966</v>
      </c>
      <c r="V80" s="28">
        <v>3545</v>
      </c>
      <c r="W80" s="28">
        <v>3234</v>
      </c>
      <c r="X80" s="28">
        <v>3066</v>
      </c>
      <c r="Y80" s="28">
        <v>16619</v>
      </c>
      <c r="Z80" s="28">
        <v>186737077</v>
      </c>
      <c r="AA80" s="28">
        <v>942</v>
      </c>
      <c r="AB80" s="28">
        <v>1787</v>
      </c>
      <c r="AC80" s="28">
        <v>33636</v>
      </c>
      <c r="AD80" s="28">
        <v>233</v>
      </c>
      <c r="AE80" s="28"/>
      <c r="AF80" s="28"/>
      <c r="AG80" s="28"/>
      <c r="AH80" s="28"/>
      <c r="AI80" s="28">
        <v>9342</v>
      </c>
      <c r="AJ80" s="28"/>
      <c r="AK80" s="28"/>
      <c r="AL80" s="28"/>
      <c r="AM80" s="28"/>
      <c r="AN80" s="28"/>
      <c r="AO80" s="28"/>
      <c r="AP80" s="28"/>
      <c r="AQ80" s="28"/>
      <c r="AR80" s="28"/>
      <c r="AS80" s="28"/>
      <c r="AT80" s="28"/>
      <c r="AU80" s="28"/>
      <c r="AV80" s="28"/>
      <c r="AW80" s="28"/>
      <c r="AX80" s="28"/>
      <c r="AY80" s="28"/>
    </row>
    <row r="81" spans="1:51">
      <c r="A81" s="30" t="s">
        <v>49</v>
      </c>
      <c r="B81" s="31">
        <v>12</v>
      </c>
      <c r="C81" s="30" t="s">
        <v>64</v>
      </c>
      <c r="D81" s="30" t="s">
        <v>11</v>
      </c>
      <c r="E81" s="30" t="s">
        <v>87</v>
      </c>
      <c r="F81" s="30">
        <v>2012</v>
      </c>
      <c r="G81" s="28">
        <v>7047</v>
      </c>
      <c r="H81" s="28">
        <v>2844</v>
      </c>
      <c r="I81" s="28">
        <v>4203</v>
      </c>
      <c r="J81" s="28">
        <v>59586</v>
      </c>
      <c r="K81" s="28">
        <v>117</v>
      </c>
      <c r="L81" s="28">
        <v>30</v>
      </c>
      <c r="M81" s="28">
        <v>38</v>
      </c>
      <c r="N81" s="28">
        <v>5657</v>
      </c>
      <c r="O81" s="28">
        <v>229727.1363150301</v>
      </c>
      <c r="P81" s="28">
        <v>4087</v>
      </c>
      <c r="Q81" s="28">
        <v>7093</v>
      </c>
      <c r="R81" s="28">
        <v>1393</v>
      </c>
      <c r="S81" s="28"/>
      <c r="T81" s="28"/>
      <c r="U81" s="28">
        <v>2925</v>
      </c>
      <c r="V81" s="28">
        <v>1318</v>
      </c>
      <c r="W81" s="28">
        <v>881</v>
      </c>
      <c r="X81" s="28">
        <v>733</v>
      </c>
      <c r="Y81" s="28">
        <v>7047</v>
      </c>
      <c r="Z81" s="28">
        <v>101478941</v>
      </c>
      <c r="AA81" s="28">
        <v>334</v>
      </c>
      <c r="AB81" s="28">
        <v>509</v>
      </c>
      <c r="AC81" s="28">
        <v>4454</v>
      </c>
      <c r="AD81" s="28">
        <v>99</v>
      </c>
      <c r="AE81" s="28"/>
      <c r="AF81" s="28"/>
      <c r="AG81" s="28"/>
      <c r="AH81" s="28"/>
      <c r="AI81" s="28"/>
      <c r="AJ81" s="28"/>
      <c r="AK81" s="28"/>
      <c r="AL81" s="28"/>
      <c r="AM81" s="28"/>
      <c r="AN81" s="28"/>
      <c r="AO81" s="28"/>
      <c r="AP81" s="28"/>
      <c r="AQ81" s="28"/>
      <c r="AR81" s="28"/>
      <c r="AS81" s="28"/>
      <c r="AT81" s="28"/>
      <c r="AU81" s="28"/>
      <c r="AV81" s="28"/>
      <c r="AW81" s="28"/>
      <c r="AX81" s="28"/>
      <c r="AY81" s="28"/>
    </row>
    <row r="82" spans="1:51">
      <c r="A82" s="30" t="s">
        <v>49</v>
      </c>
      <c r="B82" s="31">
        <v>13</v>
      </c>
      <c r="C82" s="30" t="s">
        <v>65</v>
      </c>
      <c r="D82" s="30" t="s">
        <v>12</v>
      </c>
      <c r="E82" s="30" t="s">
        <v>87</v>
      </c>
      <c r="F82" s="30">
        <v>2012</v>
      </c>
      <c r="G82" s="28">
        <v>3690</v>
      </c>
      <c r="H82" s="28">
        <v>1523</v>
      </c>
      <c r="I82" s="28">
        <v>2167</v>
      </c>
      <c r="J82" s="28">
        <v>47292</v>
      </c>
      <c r="K82" s="28">
        <v>60</v>
      </c>
      <c r="L82" s="28">
        <v>28</v>
      </c>
      <c r="M82" s="28">
        <v>23</v>
      </c>
      <c r="N82" s="28">
        <v>2872</v>
      </c>
      <c r="O82" s="28">
        <v>160589.72081369814</v>
      </c>
      <c r="P82" s="28">
        <v>1954</v>
      </c>
      <c r="Q82" s="28">
        <v>3694</v>
      </c>
      <c r="R82" s="28">
        <v>787</v>
      </c>
      <c r="S82" s="28"/>
      <c r="T82" s="28"/>
      <c r="U82" s="28">
        <v>1668</v>
      </c>
      <c r="V82" s="28">
        <v>719</v>
      </c>
      <c r="W82" s="28">
        <v>750</v>
      </c>
      <c r="X82" s="28">
        <v>744</v>
      </c>
      <c r="Y82" s="28">
        <v>3690</v>
      </c>
      <c r="Z82" s="28">
        <v>49863435</v>
      </c>
      <c r="AA82" s="28">
        <v>217</v>
      </c>
      <c r="AB82" s="28">
        <v>347</v>
      </c>
      <c r="AC82" s="28">
        <v>2326</v>
      </c>
      <c r="AD82" s="28">
        <v>86</v>
      </c>
      <c r="AE82" s="28"/>
      <c r="AF82" s="28"/>
      <c r="AG82" s="28"/>
      <c r="AH82" s="28"/>
      <c r="AI82" s="28"/>
      <c r="AJ82" s="28"/>
      <c r="AK82" s="28"/>
      <c r="AL82" s="28"/>
      <c r="AM82" s="28"/>
      <c r="AN82" s="28"/>
      <c r="AO82" s="28"/>
      <c r="AP82" s="28"/>
      <c r="AQ82" s="28"/>
      <c r="AR82" s="28"/>
      <c r="AS82" s="28"/>
      <c r="AT82" s="28"/>
      <c r="AU82" s="28"/>
      <c r="AV82" s="28"/>
      <c r="AW82" s="28"/>
      <c r="AX82" s="28"/>
      <c r="AY82" s="28"/>
    </row>
    <row r="83" spans="1:51">
      <c r="A83" s="30" t="s">
        <v>49</v>
      </c>
      <c r="B83" s="31">
        <v>14</v>
      </c>
      <c r="C83" s="30" t="s">
        <v>66</v>
      </c>
      <c r="D83" s="30" t="s">
        <v>13</v>
      </c>
      <c r="E83" s="30" t="s">
        <v>87</v>
      </c>
      <c r="F83" s="30">
        <v>2012</v>
      </c>
      <c r="G83" s="28">
        <v>15407</v>
      </c>
      <c r="H83" s="28">
        <v>6114</v>
      </c>
      <c r="I83" s="28">
        <v>9293</v>
      </c>
      <c r="J83" s="28">
        <v>106909</v>
      </c>
      <c r="K83" s="28">
        <v>249</v>
      </c>
      <c r="L83" s="28">
        <v>37</v>
      </c>
      <c r="M83" s="28">
        <v>70</v>
      </c>
      <c r="N83" s="28">
        <v>11805</v>
      </c>
      <c r="O83" s="28">
        <v>435752.90556573274</v>
      </c>
      <c r="P83" s="28">
        <v>10075</v>
      </c>
      <c r="Q83" s="28">
        <v>15218</v>
      </c>
      <c r="R83" s="28">
        <v>3332</v>
      </c>
      <c r="S83" s="28"/>
      <c r="T83" s="28"/>
      <c r="U83" s="28">
        <v>5916</v>
      </c>
      <c r="V83" s="28">
        <v>2987</v>
      </c>
      <c r="W83" s="28">
        <v>3123</v>
      </c>
      <c r="X83" s="28">
        <v>3033</v>
      </c>
      <c r="Y83" s="28">
        <v>15407</v>
      </c>
      <c r="Z83" s="28">
        <v>201017410</v>
      </c>
      <c r="AA83" s="28">
        <v>885</v>
      </c>
      <c r="AB83" s="28">
        <v>1888</v>
      </c>
      <c r="AC83" s="28">
        <v>34114</v>
      </c>
      <c r="AD83" s="28">
        <v>580</v>
      </c>
      <c r="AE83" s="28"/>
      <c r="AF83" s="28"/>
      <c r="AG83" s="28"/>
      <c r="AH83" s="28"/>
      <c r="AI83" s="28">
        <v>479</v>
      </c>
      <c r="AJ83" s="28"/>
      <c r="AK83" s="28"/>
      <c r="AL83" s="28"/>
      <c r="AM83" s="28"/>
      <c r="AN83" s="28"/>
      <c r="AO83" s="28"/>
      <c r="AP83" s="28"/>
      <c r="AQ83" s="28"/>
      <c r="AR83" s="28"/>
      <c r="AS83" s="28"/>
      <c r="AT83" s="28"/>
      <c r="AU83" s="28"/>
      <c r="AV83" s="28"/>
      <c r="AW83" s="28"/>
      <c r="AX83" s="28"/>
      <c r="AY83" s="28"/>
    </row>
    <row r="84" spans="1:51">
      <c r="A84" s="30" t="s">
        <v>49</v>
      </c>
      <c r="B84" s="31">
        <v>15</v>
      </c>
      <c r="C84" s="30" t="s">
        <v>67</v>
      </c>
      <c r="D84" s="30" t="s">
        <v>14</v>
      </c>
      <c r="E84" s="30" t="s">
        <v>87</v>
      </c>
      <c r="F84" s="30">
        <v>2012</v>
      </c>
      <c r="G84" s="28">
        <v>48217</v>
      </c>
      <c r="H84" s="28">
        <v>19660</v>
      </c>
      <c r="I84" s="28">
        <v>28557</v>
      </c>
      <c r="J84" s="28">
        <v>242886</v>
      </c>
      <c r="K84" s="28">
        <v>723</v>
      </c>
      <c r="L84" s="28">
        <v>133</v>
      </c>
      <c r="M84" s="28">
        <v>217</v>
      </c>
      <c r="N84" s="28">
        <v>37457</v>
      </c>
      <c r="O84" s="28">
        <v>905523.85712835006</v>
      </c>
      <c r="P84" s="28">
        <v>25023</v>
      </c>
      <c r="Q84" s="28">
        <v>48565</v>
      </c>
      <c r="R84" s="28">
        <v>10484</v>
      </c>
      <c r="S84" s="28"/>
      <c r="T84" s="28"/>
      <c r="U84" s="28">
        <v>22509</v>
      </c>
      <c r="V84" s="28">
        <v>9088</v>
      </c>
      <c r="W84" s="28">
        <v>8630</v>
      </c>
      <c r="X84" s="28">
        <v>6876</v>
      </c>
      <c r="Y84" s="28">
        <v>48217</v>
      </c>
      <c r="Z84" s="28">
        <v>592551256</v>
      </c>
      <c r="AA84" s="28">
        <v>2613</v>
      </c>
      <c r="AB84" s="28">
        <v>3996</v>
      </c>
      <c r="AC84" s="28">
        <v>44733</v>
      </c>
      <c r="AD84" s="28">
        <v>670</v>
      </c>
      <c r="AE84" s="28"/>
      <c r="AF84" s="28"/>
      <c r="AG84" s="28"/>
      <c r="AH84" s="28"/>
      <c r="AI84" s="28">
        <v>2000</v>
      </c>
      <c r="AJ84" s="28"/>
      <c r="AK84" s="28"/>
      <c r="AL84" s="28"/>
      <c r="AM84" s="28"/>
      <c r="AN84" s="28"/>
      <c r="AO84" s="28"/>
      <c r="AP84" s="28"/>
      <c r="AQ84" s="28"/>
      <c r="AR84" s="28"/>
      <c r="AS84" s="28"/>
      <c r="AT84" s="28"/>
      <c r="AU84" s="28"/>
      <c r="AV84" s="28"/>
      <c r="AW84" s="28"/>
      <c r="AX84" s="28"/>
      <c r="AY84" s="28"/>
    </row>
    <row r="85" spans="1:51">
      <c r="A85" s="30" t="s">
        <v>49</v>
      </c>
      <c r="B85" s="31">
        <v>16</v>
      </c>
      <c r="C85" s="30" t="s">
        <v>68</v>
      </c>
      <c r="D85" s="30" t="s">
        <v>30</v>
      </c>
      <c r="E85" s="30" t="s">
        <v>87</v>
      </c>
      <c r="F85" s="30">
        <v>2012</v>
      </c>
      <c r="G85" s="28">
        <v>12293</v>
      </c>
      <c r="H85" s="28">
        <v>5099</v>
      </c>
      <c r="I85" s="28">
        <v>7194</v>
      </c>
      <c r="J85" s="28">
        <v>63423</v>
      </c>
      <c r="K85" s="28">
        <v>237</v>
      </c>
      <c r="L85" s="28">
        <v>48</v>
      </c>
      <c r="M85" s="28">
        <v>62</v>
      </c>
      <c r="N85" s="28">
        <v>9265</v>
      </c>
      <c r="O85" s="28">
        <v>270428.32494369015</v>
      </c>
      <c r="P85" s="28">
        <v>6739</v>
      </c>
      <c r="Q85" s="28">
        <v>12071</v>
      </c>
      <c r="R85" s="28">
        <v>2619</v>
      </c>
      <c r="S85" s="28"/>
      <c r="T85" s="28"/>
      <c r="U85" s="28">
        <v>4986</v>
      </c>
      <c r="V85" s="28">
        <v>2285</v>
      </c>
      <c r="W85" s="28">
        <v>2112</v>
      </c>
      <c r="X85" s="28">
        <v>1958</v>
      </c>
      <c r="Y85" s="28">
        <v>12293</v>
      </c>
      <c r="Z85" s="28">
        <v>163225447</v>
      </c>
      <c r="AA85" s="28">
        <v>490</v>
      </c>
      <c r="AB85" s="28">
        <v>940</v>
      </c>
      <c r="AC85" s="28">
        <v>7708</v>
      </c>
      <c r="AD85" s="28">
        <v>150</v>
      </c>
      <c r="AE85" s="28"/>
      <c r="AF85" s="28"/>
      <c r="AG85" s="28"/>
      <c r="AH85" s="28"/>
      <c r="AI85" s="28"/>
      <c r="AJ85" s="28"/>
      <c r="AK85" s="28"/>
      <c r="AL85" s="28"/>
      <c r="AM85" s="28"/>
      <c r="AN85" s="28"/>
      <c r="AO85" s="28"/>
      <c r="AP85" s="28"/>
      <c r="AQ85" s="28"/>
      <c r="AR85" s="28"/>
      <c r="AS85" s="28"/>
      <c r="AT85" s="28"/>
      <c r="AU85" s="28"/>
      <c r="AV85" s="28"/>
      <c r="AW85" s="28"/>
      <c r="AX85" s="28"/>
      <c r="AY85" s="28"/>
    </row>
    <row r="86" spans="1:51">
      <c r="A86" s="30" t="s">
        <v>49</v>
      </c>
      <c r="B86" s="31">
        <v>17</v>
      </c>
      <c r="C86" s="30" t="s">
        <v>69</v>
      </c>
      <c r="D86" s="30" t="s">
        <v>15</v>
      </c>
      <c r="E86" s="30" t="s">
        <v>87</v>
      </c>
      <c r="F86" s="30">
        <v>2012</v>
      </c>
      <c r="G86" s="28">
        <v>5012</v>
      </c>
      <c r="H86" s="28">
        <v>2002</v>
      </c>
      <c r="I86" s="28">
        <v>3010</v>
      </c>
      <c r="J86" s="28">
        <v>30555</v>
      </c>
      <c r="K86" s="28">
        <v>60</v>
      </c>
      <c r="L86" s="28">
        <v>17</v>
      </c>
      <c r="M86" s="28">
        <v>12</v>
      </c>
      <c r="N86" s="28">
        <v>4234</v>
      </c>
      <c r="O86" s="28">
        <v>104617.93567797635</v>
      </c>
      <c r="P86" s="28">
        <v>3222</v>
      </c>
      <c r="Q86" s="28">
        <v>5052</v>
      </c>
      <c r="R86" s="28">
        <v>1155</v>
      </c>
      <c r="S86" s="28"/>
      <c r="T86" s="28"/>
      <c r="U86" s="28">
        <v>2032</v>
      </c>
      <c r="V86" s="28">
        <v>1059</v>
      </c>
      <c r="W86" s="28">
        <v>962</v>
      </c>
      <c r="X86" s="28">
        <v>809</v>
      </c>
      <c r="Y86" s="28">
        <v>5012</v>
      </c>
      <c r="Z86" s="28">
        <v>56023818</v>
      </c>
      <c r="AA86" s="28">
        <v>252</v>
      </c>
      <c r="AB86" s="28">
        <v>515</v>
      </c>
      <c r="AC86" s="28">
        <v>5342</v>
      </c>
      <c r="AD86" s="28">
        <v>8</v>
      </c>
      <c r="AE86" s="28"/>
      <c r="AF86" s="28"/>
      <c r="AG86" s="28"/>
      <c r="AH86" s="28"/>
      <c r="AI86" s="28"/>
      <c r="AJ86" s="28"/>
      <c r="AK86" s="28"/>
      <c r="AL86" s="28"/>
      <c r="AM86" s="28"/>
      <c r="AN86" s="28"/>
      <c r="AO86" s="28"/>
      <c r="AP86" s="28"/>
      <c r="AQ86" s="28"/>
      <c r="AR86" s="28"/>
      <c r="AS86" s="28"/>
      <c r="AT86" s="28"/>
      <c r="AU86" s="28"/>
      <c r="AV86" s="28"/>
      <c r="AW86" s="28"/>
      <c r="AX86" s="28"/>
      <c r="AY86" s="28"/>
    </row>
    <row r="87" spans="1:51">
      <c r="A87" s="30" t="s">
        <v>49</v>
      </c>
      <c r="B87" s="31">
        <v>18</v>
      </c>
      <c r="C87" s="30" t="s">
        <v>70</v>
      </c>
      <c r="D87" s="30" t="s">
        <v>16</v>
      </c>
      <c r="E87" s="30" t="s">
        <v>87</v>
      </c>
      <c r="F87" s="30">
        <v>2012</v>
      </c>
      <c r="G87" s="28">
        <v>3043</v>
      </c>
      <c r="H87" s="28">
        <v>1267</v>
      </c>
      <c r="I87" s="28">
        <v>1776</v>
      </c>
      <c r="J87" s="28">
        <v>17116</v>
      </c>
      <c r="K87" s="28">
        <v>35</v>
      </c>
      <c r="L87" s="28">
        <v>7</v>
      </c>
      <c r="M87" s="28">
        <v>7</v>
      </c>
      <c r="N87" s="28">
        <v>2756</v>
      </c>
      <c r="O87" s="28">
        <v>65043.64849579391</v>
      </c>
      <c r="P87" s="28">
        <v>1645</v>
      </c>
      <c r="Q87" s="28">
        <v>3029</v>
      </c>
      <c r="R87" s="28">
        <v>727</v>
      </c>
      <c r="S87" s="28"/>
      <c r="T87" s="28"/>
      <c r="U87" s="28">
        <v>1259</v>
      </c>
      <c r="V87" s="28">
        <v>692</v>
      </c>
      <c r="W87" s="28">
        <v>504</v>
      </c>
      <c r="X87" s="28">
        <v>488</v>
      </c>
      <c r="Y87" s="28">
        <v>3043</v>
      </c>
      <c r="Z87" s="28">
        <v>42086753</v>
      </c>
      <c r="AA87" s="28">
        <v>122</v>
      </c>
      <c r="AB87" s="28">
        <v>334</v>
      </c>
      <c r="AC87" s="28">
        <v>1997</v>
      </c>
      <c r="AD87" s="28">
        <v>1</v>
      </c>
      <c r="AE87" s="28"/>
      <c r="AF87" s="28"/>
      <c r="AG87" s="28"/>
      <c r="AH87" s="28"/>
      <c r="AI87" s="28"/>
      <c r="AJ87" s="28"/>
      <c r="AK87" s="28"/>
      <c r="AL87" s="28"/>
      <c r="AM87" s="28"/>
      <c r="AN87" s="28"/>
      <c r="AO87" s="28"/>
      <c r="AP87" s="28"/>
      <c r="AQ87" s="28"/>
      <c r="AR87" s="28"/>
      <c r="AS87" s="28"/>
      <c r="AT87" s="28"/>
      <c r="AU87" s="28"/>
      <c r="AV87" s="28"/>
      <c r="AW87" s="28"/>
      <c r="AX87" s="28"/>
      <c r="AY87" s="28"/>
    </row>
    <row r="88" spans="1:51">
      <c r="A88" s="30" t="s">
        <v>49</v>
      </c>
      <c r="B88" s="31">
        <v>19</v>
      </c>
      <c r="C88" s="30" t="s">
        <v>71</v>
      </c>
      <c r="D88" s="30" t="s">
        <v>17</v>
      </c>
      <c r="E88" s="30" t="s">
        <v>87</v>
      </c>
      <c r="F88" s="30">
        <v>2012</v>
      </c>
      <c r="G88" s="28">
        <v>16396</v>
      </c>
      <c r="H88" s="28">
        <v>7296</v>
      </c>
      <c r="I88" s="28">
        <v>9100</v>
      </c>
      <c r="J88" s="28">
        <v>71017</v>
      </c>
      <c r="K88" s="28">
        <v>184</v>
      </c>
      <c r="L88" s="28">
        <v>49</v>
      </c>
      <c r="M88" s="28">
        <v>60</v>
      </c>
      <c r="N88" s="28">
        <v>13599</v>
      </c>
      <c r="O88" s="28">
        <v>256685.14683603484</v>
      </c>
      <c r="P88" s="28">
        <v>9824</v>
      </c>
      <c r="Q88" s="28">
        <v>15337</v>
      </c>
      <c r="R88" s="28">
        <v>3317</v>
      </c>
      <c r="S88" s="28"/>
      <c r="T88" s="28"/>
      <c r="U88" s="28">
        <v>6548</v>
      </c>
      <c r="V88" s="28">
        <v>3069</v>
      </c>
      <c r="W88" s="28">
        <v>2744</v>
      </c>
      <c r="X88" s="28">
        <v>2658</v>
      </c>
      <c r="Y88" s="28">
        <v>16396</v>
      </c>
      <c r="Z88" s="28">
        <v>163658445</v>
      </c>
      <c r="AA88" s="28">
        <v>880</v>
      </c>
      <c r="AB88" s="28">
        <v>1827</v>
      </c>
      <c r="AC88" s="28">
        <v>57312</v>
      </c>
      <c r="AD88" s="28">
        <v>1562</v>
      </c>
      <c r="AE88" s="28"/>
      <c r="AF88" s="28"/>
      <c r="AG88" s="28"/>
      <c r="AH88" s="28"/>
      <c r="AI88" s="28">
        <v>847</v>
      </c>
      <c r="AJ88" s="28"/>
      <c r="AK88" s="28"/>
      <c r="AL88" s="28"/>
      <c r="AM88" s="28"/>
      <c r="AN88" s="28"/>
      <c r="AO88" s="28"/>
      <c r="AP88" s="28"/>
      <c r="AQ88" s="28"/>
      <c r="AR88" s="28"/>
      <c r="AS88" s="28"/>
      <c r="AT88" s="28"/>
      <c r="AU88" s="28"/>
      <c r="AV88" s="28"/>
      <c r="AW88" s="28"/>
      <c r="AX88" s="28"/>
      <c r="AY88" s="28"/>
    </row>
    <row r="89" spans="1:51">
      <c r="A89" s="30" t="s">
        <v>50</v>
      </c>
      <c r="B89" s="31">
        <v>20</v>
      </c>
      <c r="C89" s="30" t="s">
        <v>85</v>
      </c>
      <c r="D89" s="30" t="s">
        <v>28</v>
      </c>
      <c r="E89" s="30" t="s">
        <v>87</v>
      </c>
      <c r="F89" s="30">
        <v>2012</v>
      </c>
      <c r="G89" s="28">
        <v>6750</v>
      </c>
      <c r="H89" s="28">
        <v>2691</v>
      </c>
      <c r="I89" s="28">
        <v>4059</v>
      </c>
      <c r="J89" s="28">
        <v>64635</v>
      </c>
      <c r="K89" s="28">
        <v>108</v>
      </c>
      <c r="L89" s="28">
        <v>12</v>
      </c>
      <c r="M89" s="28">
        <v>32</v>
      </c>
      <c r="N89" s="28">
        <v>5279</v>
      </c>
      <c r="O89" s="28">
        <v>244700.14959654724</v>
      </c>
      <c r="P89" s="28">
        <v>3569</v>
      </c>
      <c r="Q89" s="28">
        <v>6489</v>
      </c>
      <c r="R89" s="28">
        <v>1288</v>
      </c>
      <c r="S89" s="28"/>
      <c r="T89" s="28"/>
      <c r="U89" s="28">
        <v>2520</v>
      </c>
      <c r="V89" s="28">
        <v>1152</v>
      </c>
      <c r="W89" s="28">
        <v>1231</v>
      </c>
      <c r="X89" s="28">
        <v>1041</v>
      </c>
      <c r="Y89" s="28"/>
      <c r="Z89" s="28"/>
      <c r="AA89" s="28">
        <v>405</v>
      </c>
      <c r="AB89" s="28">
        <v>460</v>
      </c>
      <c r="AC89" s="28">
        <v>2163</v>
      </c>
      <c r="AD89" s="28">
        <v>10</v>
      </c>
      <c r="AE89" s="28"/>
      <c r="AF89" s="28"/>
      <c r="AG89" s="28"/>
      <c r="AH89" s="28"/>
      <c r="AI89" s="28"/>
      <c r="AJ89" s="28"/>
      <c r="AK89" s="28"/>
      <c r="AL89" s="28"/>
      <c r="AM89" s="28"/>
      <c r="AN89" s="28"/>
      <c r="AO89" s="28"/>
      <c r="AP89" s="28"/>
      <c r="AQ89" s="28"/>
      <c r="AR89" s="28"/>
      <c r="AS89" s="28"/>
      <c r="AT89" s="28"/>
      <c r="AU89" s="28"/>
      <c r="AV89" s="28"/>
      <c r="AW89" s="28"/>
      <c r="AX89" s="28"/>
      <c r="AY89" s="28"/>
    </row>
    <row r="90" spans="1:51">
      <c r="A90" s="30" t="s">
        <v>49</v>
      </c>
      <c r="B90" s="31">
        <v>21</v>
      </c>
      <c r="C90" s="30" t="s">
        <v>72</v>
      </c>
      <c r="D90" s="30" t="s">
        <v>18</v>
      </c>
      <c r="E90" s="30" t="s">
        <v>87</v>
      </c>
      <c r="F90" s="30">
        <v>2012</v>
      </c>
      <c r="G90" s="28">
        <v>7539</v>
      </c>
      <c r="H90" s="28">
        <v>2816</v>
      </c>
      <c r="I90" s="28">
        <v>4723</v>
      </c>
      <c r="J90" s="28">
        <v>98190</v>
      </c>
      <c r="K90" s="28">
        <v>144</v>
      </c>
      <c r="L90" s="28">
        <v>39</v>
      </c>
      <c r="M90" s="28">
        <v>55</v>
      </c>
      <c r="N90" s="28">
        <v>6383</v>
      </c>
      <c r="O90" s="28">
        <v>368172.44746360031</v>
      </c>
      <c r="P90" s="28">
        <v>4459</v>
      </c>
      <c r="Q90" s="28">
        <v>7684</v>
      </c>
      <c r="R90" s="28">
        <v>1841</v>
      </c>
      <c r="S90" s="28"/>
      <c r="T90" s="28"/>
      <c r="U90" s="28">
        <v>3020</v>
      </c>
      <c r="V90" s="28">
        <v>1621</v>
      </c>
      <c r="W90" s="28">
        <v>1588</v>
      </c>
      <c r="X90" s="28">
        <v>1530</v>
      </c>
      <c r="Y90" s="28">
        <v>7539</v>
      </c>
      <c r="Z90" s="28">
        <v>117736744</v>
      </c>
      <c r="AA90" s="28">
        <v>411</v>
      </c>
      <c r="AB90" s="28">
        <v>1035</v>
      </c>
      <c r="AC90" s="28">
        <v>9486</v>
      </c>
      <c r="AD90" s="28">
        <v>37</v>
      </c>
      <c r="AE90" s="28"/>
      <c r="AF90" s="28"/>
      <c r="AG90" s="28"/>
      <c r="AH90" s="28"/>
      <c r="AI90" s="28"/>
      <c r="AJ90" s="28"/>
      <c r="AK90" s="28"/>
      <c r="AL90" s="28"/>
      <c r="AM90" s="28"/>
      <c r="AN90" s="28"/>
      <c r="AO90" s="28"/>
      <c r="AP90" s="28"/>
      <c r="AQ90" s="28"/>
      <c r="AR90" s="28"/>
      <c r="AS90" s="28"/>
      <c r="AT90" s="28"/>
      <c r="AU90" s="28"/>
      <c r="AV90" s="28"/>
      <c r="AW90" s="28"/>
      <c r="AX90" s="28"/>
      <c r="AY90" s="28"/>
    </row>
    <row r="91" spans="1:51">
      <c r="A91" s="30" t="s">
        <v>49</v>
      </c>
      <c r="B91" s="31">
        <v>22</v>
      </c>
      <c r="C91" s="30" t="s">
        <v>73</v>
      </c>
      <c r="D91" s="30" t="s">
        <v>29</v>
      </c>
      <c r="E91" s="30" t="s">
        <v>87</v>
      </c>
      <c r="F91" s="30">
        <v>2012</v>
      </c>
      <c r="G91" s="28">
        <v>3014</v>
      </c>
      <c r="H91" s="28">
        <v>1219</v>
      </c>
      <c r="I91" s="28">
        <v>1795</v>
      </c>
      <c r="J91" s="28">
        <v>28090</v>
      </c>
      <c r="K91" s="28">
        <v>44</v>
      </c>
      <c r="L91" s="28">
        <v>9</v>
      </c>
      <c r="M91" s="28">
        <v>21</v>
      </c>
      <c r="N91" s="28">
        <v>2530</v>
      </c>
      <c r="O91" s="28">
        <v>113259.35666997568</v>
      </c>
      <c r="P91" s="28">
        <v>2367</v>
      </c>
      <c r="Q91" s="28">
        <v>2914</v>
      </c>
      <c r="R91" s="28">
        <v>682</v>
      </c>
      <c r="S91" s="28"/>
      <c r="T91" s="28"/>
      <c r="U91" s="28">
        <v>1063</v>
      </c>
      <c r="V91" s="28">
        <v>606</v>
      </c>
      <c r="W91" s="28">
        <v>674</v>
      </c>
      <c r="X91" s="28">
        <v>626</v>
      </c>
      <c r="Y91" s="28">
        <v>3014</v>
      </c>
      <c r="Z91" s="28">
        <v>36057782</v>
      </c>
      <c r="AA91" s="28">
        <v>235</v>
      </c>
      <c r="AB91" s="28">
        <v>283</v>
      </c>
      <c r="AC91" s="28">
        <v>6562</v>
      </c>
      <c r="AD91" s="28">
        <v>83</v>
      </c>
      <c r="AE91" s="28"/>
      <c r="AF91" s="28"/>
      <c r="AG91" s="28"/>
      <c r="AH91" s="28"/>
      <c r="AI91" s="28"/>
      <c r="AJ91" s="28"/>
      <c r="AK91" s="28"/>
      <c r="AL91" s="28"/>
      <c r="AM91" s="28"/>
      <c r="AN91" s="28"/>
      <c r="AO91" s="28"/>
      <c r="AP91" s="28"/>
      <c r="AQ91" s="28"/>
      <c r="AR91" s="28"/>
      <c r="AS91" s="28"/>
      <c r="AT91" s="28"/>
      <c r="AU91" s="28"/>
      <c r="AV91" s="28"/>
      <c r="AW91" s="28"/>
      <c r="AX91" s="28"/>
      <c r="AY91" s="28"/>
    </row>
    <row r="92" spans="1:51">
      <c r="A92" s="30" t="s">
        <v>49</v>
      </c>
      <c r="B92" s="31">
        <v>23</v>
      </c>
      <c r="C92" s="30" t="s">
        <v>74</v>
      </c>
      <c r="D92" s="30" t="s">
        <v>19</v>
      </c>
      <c r="E92" s="30" t="s">
        <v>87</v>
      </c>
      <c r="F92" s="30">
        <v>2012</v>
      </c>
      <c r="G92" s="28">
        <v>8685</v>
      </c>
      <c r="H92" s="28">
        <v>3687</v>
      </c>
      <c r="I92" s="28">
        <v>4998</v>
      </c>
      <c r="J92" s="28">
        <v>22070</v>
      </c>
      <c r="K92" s="28">
        <v>104</v>
      </c>
      <c r="L92" s="28">
        <v>16</v>
      </c>
      <c r="M92" s="28">
        <v>29</v>
      </c>
      <c r="N92" s="28">
        <v>6630</v>
      </c>
      <c r="O92" s="28">
        <v>79915.394881891494</v>
      </c>
      <c r="P92" s="28">
        <v>4757</v>
      </c>
      <c r="Q92" s="28">
        <v>8310</v>
      </c>
      <c r="R92" s="28">
        <v>2143</v>
      </c>
      <c r="S92" s="28"/>
      <c r="T92" s="28"/>
      <c r="U92" s="28">
        <v>3615</v>
      </c>
      <c r="V92" s="28">
        <v>1943</v>
      </c>
      <c r="W92" s="28">
        <v>1543</v>
      </c>
      <c r="X92" s="28">
        <v>1453</v>
      </c>
      <c r="Y92" s="28">
        <v>8685</v>
      </c>
      <c r="Z92" s="28">
        <v>79228139</v>
      </c>
      <c r="AA92" s="28">
        <v>424</v>
      </c>
      <c r="AB92" s="28">
        <v>704</v>
      </c>
      <c r="AC92" s="28">
        <v>12321</v>
      </c>
      <c r="AD92" s="28">
        <v>16</v>
      </c>
      <c r="AE92" s="28"/>
      <c r="AF92" s="28"/>
      <c r="AG92" s="28"/>
      <c r="AH92" s="28"/>
      <c r="AI92" s="28"/>
      <c r="AJ92" s="28"/>
      <c r="AK92" s="28"/>
      <c r="AL92" s="28"/>
      <c r="AM92" s="28"/>
      <c r="AN92" s="28"/>
      <c r="AO92" s="28"/>
      <c r="AP92" s="28"/>
      <c r="AQ92" s="28"/>
      <c r="AR92" s="28"/>
      <c r="AS92" s="28"/>
      <c r="AT92" s="28"/>
      <c r="AU92" s="28"/>
      <c r="AV92" s="28"/>
      <c r="AW92" s="28"/>
      <c r="AX92" s="28"/>
      <c r="AY92" s="28"/>
    </row>
    <row r="93" spans="1:51">
      <c r="A93" s="30" t="s">
        <v>49</v>
      </c>
      <c r="B93" s="31">
        <v>24</v>
      </c>
      <c r="C93" s="30" t="s">
        <v>75</v>
      </c>
      <c r="D93" s="30" t="s">
        <v>20</v>
      </c>
      <c r="E93" s="30" t="s">
        <v>87</v>
      </c>
      <c r="F93" s="30">
        <v>2012</v>
      </c>
      <c r="G93" s="28">
        <v>5478</v>
      </c>
      <c r="H93" s="28">
        <v>2196</v>
      </c>
      <c r="I93" s="28">
        <v>3282</v>
      </c>
      <c r="J93" s="28">
        <v>44949</v>
      </c>
      <c r="K93" s="28">
        <v>84</v>
      </c>
      <c r="L93" s="28">
        <v>24</v>
      </c>
      <c r="M93" s="28">
        <v>28</v>
      </c>
      <c r="N93" s="28">
        <v>4489</v>
      </c>
      <c r="O93" s="28">
        <v>162721.95294879421</v>
      </c>
      <c r="P93" s="28">
        <v>2938</v>
      </c>
      <c r="Q93" s="28">
        <v>5457</v>
      </c>
      <c r="R93" s="28">
        <v>1063</v>
      </c>
      <c r="S93" s="28"/>
      <c r="T93" s="28"/>
      <c r="U93" s="28">
        <v>2168</v>
      </c>
      <c r="V93" s="28">
        <v>951</v>
      </c>
      <c r="W93" s="28">
        <v>882</v>
      </c>
      <c r="X93" s="28">
        <v>826</v>
      </c>
      <c r="Y93" s="28">
        <v>5478</v>
      </c>
      <c r="Z93" s="28">
        <v>68158288</v>
      </c>
      <c r="AA93" s="28">
        <v>341</v>
      </c>
      <c r="AB93" s="28">
        <v>445</v>
      </c>
      <c r="AC93" s="28">
        <v>10960</v>
      </c>
      <c r="AD93" s="28">
        <v>170</v>
      </c>
      <c r="AE93" s="28"/>
      <c r="AF93" s="28"/>
      <c r="AG93" s="28"/>
      <c r="AH93" s="28"/>
      <c r="AI93" s="28"/>
      <c r="AJ93" s="28"/>
      <c r="AK93" s="28"/>
      <c r="AL93" s="28"/>
      <c r="AM93" s="28"/>
      <c r="AN93" s="28"/>
      <c r="AO93" s="28"/>
      <c r="AP93" s="28"/>
      <c r="AQ93" s="28"/>
      <c r="AR93" s="28"/>
      <c r="AS93" s="28"/>
      <c r="AT93" s="28"/>
      <c r="AU93" s="28"/>
      <c r="AV93" s="28"/>
      <c r="AW93" s="28"/>
      <c r="AX93" s="28"/>
      <c r="AY93" s="28"/>
    </row>
    <row r="94" spans="1:51">
      <c r="A94" s="30" t="s">
        <v>49</v>
      </c>
      <c r="B94" s="31">
        <v>25</v>
      </c>
      <c r="C94" s="30" t="s">
        <v>76</v>
      </c>
      <c r="D94" s="30" t="s">
        <v>21</v>
      </c>
      <c r="E94" s="30" t="s">
        <v>87</v>
      </c>
      <c r="F94" s="30">
        <v>2012</v>
      </c>
      <c r="G94" s="28">
        <v>9564</v>
      </c>
      <c r="H94" s="28">
        <v>3935</v>
      </c>
      <c r="I94" s="28">
        <v>5629</v>
      </c>
      <c r="J94" s="28">
        <v>45264</v>
      </c>
      <c r="K94" s="28">
        <v>171</v>
      </c>
      <c r="L94" s="28">
        <v>40</v>
      </c>
      <c r="M94" s="28">
        <v>44</v>
      </c>
      <c r="N94" s="28">
        <v>8117</v>
      </c>
      <c r="O94" s="28">
        <v>166975.11134791601</v>
      </c>
      <c r="P94" s="28">
        <v>4827</v>
      </c>
      <c r="Q94" s="28">
        <v>9080</v>
      </c>
      <c r="R94" s="28">
        <v>2190</v>
      </c>
      <c r="S94" s="28"/>
      <c r="T94" s="28"/>
      <c r="U94" s="28">
        <v>3176</v>
      </c>
      <c r="V94" s="28">
        <v>2090</v>
      </c>
      <c r="W94" s="28">
        <v>2057</v>
      </c>
      <c r="X94" s="28">
        <v>2052</v>
      </c>
      <c r="Y94" s="28">
        <v>9564</v>
      </c>
      <c r="Z94" s="28">
        <v>173106212</v>
      </c>
      <c r="AA94" s="28">
        <v>590</v>
      </c>
      <c r="AB94" s="28">
        <v>957</v>
      </c>
      <c r="AC94" s="28">
        <v>11683</v>
      </c>
      <c r="AD94" s="28">
        <v>93</v>
      </c>
      <c r="AE94" s="28"/>
      <c r="AF94" s="28"/>
      <c r="AG94" s="28"/>
      <c r="AH94" s="28"/>
      <c r="AI94" s="28"/>
      <c r="AJ94" s="28"/>
      <c r="AK94" s="28"/>
      <c r="AL94" s="28"/>
      <c r="AM94" s="28"/>
      <c r="AN94" s="28"/>
      <c r="AO94" s="28"/>
      <c r="AP94" s="28"/>
      <c r="AQ94" s="28"/>
      <c r="AR94" s="28"/>
      <c r="AS94" s="28"/>
      <c r="AT94" s="28"/>
      <c r="AU94" s="28"/>
      <c r="AV94" s="28"/>
      <c r="AW94" s="28"/>
      <c r="AX94" s="28"/>
      <c r="AY94" s="28"/>
    </row>
    <row r="95" spans="1:51">
      <c r="A95" s="30" t="s">
        <v>49</v>
      </c>
      <c r="B95" s="31">
        <v>26</v>
      </c>
      <c r="C95" s="30" t="s">
        <v>77</v>
      </c>
      <c r="D95" s="30" t="s">
        <v>22</v>
      </c>
      <c r="E95" s="30" t="s">
        <v>87</v>
      </c>
      <c r="F95" s="30">
        <v>2012</v>
      </c>
      <c r="G95" s="28">
        <v>12561</v>
      </c>
      <c r="H95" s="28">
        <v>5124</v>
      </c>
      <c r="I95" s="28">
        <v>7437</v>
      </c>
      <c r="J95" s="28">
        <v>42230</v>
      </c>
      <c r="K95" s="28">
        <v>223</v>
      </c>
      <c r="L95" s="28">
        <v>45</v>
      </c>
      <c r="M95" s="28">
        <v>60</v>
      </c>
      <c r="N95" s="28">
        <v>10479</v>
      </c>
      <c r="O95" s="28">
        <v>156315.86238266551</v>
      </c>
      <c r="P95" s="28">
        <v>5531</v>
      </c>
      <c r="Q95" s="28">
        <v>13196</v>
      </c>
      <c r="R95" s="28">
        <v>2333</v>
      </c>
      <c r="S95" s="28"/>
      <c r="T95" s="28"/>
      <c r="U95" s="28">
        <v>5253</v>
      </c>
      <c r="V95" s="28">
        <v>2121</v>
      </c>
      <c r="W95" s="28">
        <v>2103</v>
      </c>
      <c r="X95" s="28">
        <v>1881</v>
      </c>
      <c r="Y95" s="28">
        <v>12561</v>
      </c>
      <c r="Z95" s="28">
        <v>177838898</v>
      </c>
      <c r="AA95" s="28">
        <v>42</v>
      </c>
      <c r="AB95" s="28">
        <v>961</v>
      </c>
      <c r="AC95" s="28">
        <v>15470</v>
      </c>
      <c r="AD95" s="28">
        <v>101</v>
      </c>
      <c r="AE95" s="28"/>
      <c r="AF95" s="28"/>
      <c r="AG95" s="28"/>
      <c r="AH95" s="28"/>
      <c r="AI95" s="28"/>
      <c r="AJ95" s="28"/>
      <c r="AK95" s="28"/>
      <c r="AL95" s="28"/>
      <c r="AM95" s="28"/>
      <c r="AN95" s="28"/>
      <c r="AO95" s="28"/>
      <c r="AP95" s="28"/>
      <c r="AQ95" s="28"/>
      <c r="AR95" s="28"/>
      <c r="AS95" s="28"/>
      <c r="AT95" s="28"/>
      <c r="AU95" s="28"/>
      <c r="AV95" s="28"/>
      <c r="AW95" s="28"/>
      <c r="AX95" s="28"/>
      <c r="AY95" s="28"/>
    </row>
    <row r="96" spans="1:51">
      <c r="A96" s="30" t="s">
        <v>49</v>
      </c>
      <c r="B96" s="31">
        <v>27</v>
      </c>
      <c r="C96" s="30" t="s">
        <v>78</v>
      </c>
      <c r="D96" s="30" t="s">
        <v>23</v>
      </c>
      <c r="E96" s="30" t="s">
        <v>87</v>
      </c>
      <c r="F96" s="30">
        <v>2012</v>
      </c>
      <c r="G96" s="28">
        <v>5305</v>
      </c>
      <c r="H96" s="28">
        <v>2213</v>
      </c>
      <c r="I96" s="28">
        <v>3092</v>
      </c>
      <c r="J96" s="28">
        <v>36810</v>
      </c>
      <c r="K96" s="28">
        <v>76</v>
      </c>
      <c r="L96" s="28">
        <v>24</v>
      </c>
      <c r="M96" s="28">
        <v>26</v>
      </c>
      <c r="N96" s="28">
        <v>4446</v>
      </c>
      <c r="O96" s="28">
        <v>135006.4916160994</v>
      </c>
      <c r="P96" s="28">
        <v>2330</v>
      </c>
      <c r="Q96" s="28">
        <v>5040</v>
      </c>
      <c r="R96" s="28">
        <v>1220</v>
      </c>
      <c r="S96" s="28"/>
      <c r="T96" s="28"/>
      <c r="U96" s="28">
        <v>2186</v>
      </c>
      <c r="V96" s="28">
        <v>1080</v>
      </c>
      <c r="W96" s="28">
        <v>1149</v>
      </c>
      <c r="X96" s="28">
        <v>1121</v>
      </c>
      <c r="Y96" s="28">
        <v>5305</v>
      </c>
      <c r="Z96" s="28">
        <v>89213480</v>
      </c>
      <c r="AA96" s="28">
        <v>304</v>
      </c>
      <c r="AB96" s="28">
        <v>388</v>
      </c>
      <c r="AC96" s="28">
        <v>4008</v>
      </c>
      <c r="AD96" s="28">
        <v>0</v>
      </c>
      <c r="AE96" s="28"/>
      <c r="AF96" s="28"/>
      <c r="AG96" s="28"/>
      <c r="AH96" s="28"/>
      <c r="AI96" s="28"/>
      <c r="AJ96" s="28"/>
      <c r="AK96" s="28"/>
      <c r="AL96" s="28"/>
      <c r="AM96" s="28"/>
      <c r="AN96" s="28"/>
      <c r="AO96" s="28"/>
      <c r="AP96" s="28"/>
      <c r="AQ96" s="28"/>
      <c r="AR96" s="28"/>
      <c r="AS96" s="28"/>
      <c r="AT96" s="28"/>
      <c r="AU96" s="28"/>
      <c r="AV96" s="28"/>
      <c r="AW96" s="28"/>
      <c r="AX96" s="28"/>
      <c r="AY96" s="28"/>
    </row>
    <row r="97" spans="1:51">
      <c r="A97" s="30" t="s">
        <v>49</v>
      </c>
      <c r="B97" s="31">
        <v>28</v>
      </c>
      <c r="C97" s="30" t="s">
        <v>79</v>
      </c>
      <c r="D97" s="30" t="s">
        <v>24</v>
      </c>
      <c r="E97" s="30" t="s">
        <v>87</v>
      </c>
      <c r="F97" s="30">
        <v>2012</v>
      </c>
      <c r="G97" s="28">
        <v>8923</v>
      </c>
      <c r="H97" s="28">
        <v>4147</v>
      </c>
      <c r="I97" s="28">
        <v>4776</v>
      </c>
      <c r="J97" s="28">
        <v>46139</v>
      </c>
      <c r="K97" s="28">
        <v>140</v>
      </c>
      <c r="L97" s="28">
        <v>25</v>
      </c>
      <c r="M97" s="28">
        <v>47</v>
      </c>
      <c r="N97" s="28">
        <v>7462</v>
      </c>
      <c r="O97" s="28">
        <v>184782.07158093911</v>
      </c>
      <c r="P97" s="28">
        <v>4907</v>
      </c>
      <c r="Q97" s="28">
        <v>8177</v>
      </c>
      <c r="R97" s="28">
        <v>1926</v>
      </c>
      <c r="S97" s="28"/>
      <c r="T97" s="28"/>
      <c r="U97" s="28">
        <v>3579</v>
      </c>
      <c r="V97" s="28">
        <v>1817</v>
      </c>
      <c r="W97" s="28">
        <v>1747</v>
      </c>
      <c r="X97" s="28">
        <v>1715</v>
      </c>
      <c r="Y97" s="28">
        <v>8923</v>
      </c>
      <c r="Z97" s="28">
        <v>137343621</v>
      </c>
      <c r="AA97" s="28">
        <v>412</v>
      </c>
      <c r="AB97" s="28">
        <v>958</v>
      </c>
      <c r="AC97" s="28">
        <v>20257</v>
      </c>
      <c r="AD97" s="28">
        <v>622</v>
      </c>
      <c r="AE97" s="28"/>
      <c r="AF97" s="28"/>
      <c r="AG97" s="28"/>
      <c r="AH97" s="28"/>
      <c r="AI97" s="28">
        <v>15</v>
      </c>
      <c r="AJ97" s="28"/>
      <c r="AK97" s="28"/>
      <c r="AL97" s="28"/>
      <c r="AM97" s="28"/>
      <c r="AN97" s="28"/>
      <c r="AO97" s="28"/>
      <c r="AP97" s="28"/>
      <c r="AQ97" s="28"/>
      <c r="AR97" s="28"/>
      <c r="AS97" s="28"/>
      <c r="AT97" s="28"/>
      <c r="AU97" s="28"/>
      <c r="AV97" s="28"/>
      <c r="AW97" s="28"/>
      <c r="AX97" s="28"/>
      <c r="AY97" s="28"/>
    </row>
    <row r="98" spans="1:51">
      <c r="A98" s="30" t="s">
        <v>49</v>
      </c>
      <c r="B98" s="31">
        <v>29</v>
      </c>
      <c r="C98" s="30" t="s">
        <v>80</v>
      </c>
      <c r="D98" s="30" t="s">
        <v>25</v>
      </c>
      <c r="E98" s="30" t="s">
        <v>87</v>
      </c>
      <c r="F98" s="30">
        <v>2012</v>
      </c>
      <c r="G98" s="28">
        <v>3109</v>
      </c>
      <c r="H98" s="28">
        <v>1332</v>
      </c>
      <c r="I98" s="28">
        <v>1777</v>
      </c>
      <c r="J98" s="28">
        <v>23065</v>
      </c>
      <c r="K98" s="28">
        <v>42</v>
      </c>
      <c r="L98" s="28">
        <v>12</v>
      </c>
      <c r="M98" s="28">
        <v>16</v>
      </c>
      <c r="N98" s="28">
        <v>2569</v>
      </c>
      <c r="O98" s="28">
        <v>72843.924734240776</v>
      </c>
      <c r="P98" s="28">
        <v>1638</v>
      </c>
      <c r="Q98" s="28">
        <v>2587</v>
      </c>
      <c r="R98" s="28">
        <v>621</v>
      </c>
      <c r="S98" s="28"/>
      <c r="T98" s="28"/>
      <c r="U98" s="28">
        <v>985</v>
      </c>
      <c r="V98" s="28">
        <v>571</v>
      </c>
      <c r="W98" s="28">
        <v>573</v>
      </c>
      <c r="X98" s="28">
        <v>569</v>
      </c>
      <c r="Y98" s="28">
        <v>3109</v>
      </c>
      <c r="Z98" s="28">
        <v>33240372</v>
      </c>
      <c r="AA98" s="28">
        <v>205</v>
      </c>
      <c r="AB98" s="28">
        <v>401</v>
      </c>
      <c r="AC98" s="28">
        <v>2039</v>
      </c>
      <c r="AD98" s="28">
        <v>7</v>
      </c>
      <c r="AE98" s="28"/>
      <c r="AF98" s="28"/>
      <c r="AG98" s="28"/>
      <c r="AH98" s="28"/>
      <c r="AI98" s="28"/>
      <c r="AJ98" s="28"/>
      <c r="AK98" s="28"/>
      <c r="AL98" s="28"/>
      <c r="AM98" s="28"/>
      <c r="AN98" s="28"/>
      <c r="AO98" s="28"/>
      <c r="AP98" s="28"/>
      <c r="AQ98" s="28"/>
      <c r="AR98" s="28"/>
      <c r="AS98" s="28"/>
      <c r="AT98" s="28"/>
      <c r="AU98" s="28"/>
      <c r="AV98" s="28"/>
      <c r="AW98" s="28"/>
      <c r="AX98" s="28"/>
      <c r="AY98" s="28"/>
    </row>
    <row r="99" spans="1:51">
      <c r="A99" s="30" t="s">
        <v>49</v>
      </c>
      <c r="B99" s="31">
        <v>30</v>
      </c>
      <c r="C99" s="30" t="s">
        <v>81</v>
      </c>
      <c r="D99" s="30" t="s">
        <v>53</v>
      </c>
      <c r="E99" s="30" t="s">
        <v>87</v>
      </c>
      <c r="F99" s="30">
        <v>2012</v>
      </c>
      <c r="G99" s="28">
        <v>9255</v>
      </c>
      <c r="H99" s="28">
        <v>3711</v>
      </c>
      <c r="I99" s="28">
        <v>5544</v>
      </c>
      <c r="J99" s="28">
        <v>119985</v>
      </c>
      <c r="K99" s="28">
        <v>164</v>
      </c>
      <c r="L99" s="28">
        <v>39</v>
      </c>
      <c r="M99" s="28">
        <v>83</v>
      </c>
      <c r="N99" s="28">
        <v>7867</v>
      </c>
      <c r="O99" s="28">
        <v>459028.2415179275</v>
      </c>
      <c r="P99" s="28">
        <v>5514</v>
      </c>
      <c r="Q99" s="28">
        <v>9257</v>
      </c>
      <c r="R99" s="28">
        <v>2375</v>
      </c>
      <c r="S99" s="28"/>
      <c r="T99" s="28"/>
      <c r="U99" s="28">
        <v>3772</v>
      </c>
      <c r="V99" s="28">
        <v>2128</v>
      </c>
      <c r="W99" s="28">
        <v>2317</v>
      </c>
      <c r="X99" s="28">
        <v>2202</v>
      </c>
      <c r="Y99" s="28">
        <v>9255</v>
      </c>
      <c r="Z99" s="28">
        <v>177451974</v>
      </c>
      <c r="AA99" s="28">
        <v>589</v>
      </c>
      <c r="AB99" s="28">
        <v>1350</v>
      </c>
      <c r="AC99" s="28">
        <v>14349</v>
      </c>
      <c r="AD99" s="28">
        <v>280</v>
      </c>
      <c r="AE99" s="28"/>
      <c r="AF99" s="28"/>
      <c r="AG99" s="28"/>
      <c r="AH99" s="28"/>
      <c r="AI99" s="28">
        <v>552</v>
      </c>
      <c r="AJ99" s="28"/>
      <c r="AK99" s="28"/>
      <c r="AL99" s="28"/>
      <c r="AM99" s="28"/>
      <c r="AN99" s="28"/>
      <c r="AO99" s="28"/>
      <c r="AP99" s="28"/>
      <c r="AQ99" s="28"/>
      <c r="AR99" s="28"/>
      <c r="AS99" s="28"/>
      <c r="AT99" s="28"/>
      <c r="AU99" s="28"/>
      <c r="AV99" s="28"/>
      <c r="AW99" s="28"/>
      <c r="AX99" s="28"/>
      <c r="AY99" s="28"/>
    </row>
    <row r="100" spans="1:51">
      <c r="A100" s="30" t="s">
        <v>49</v>
      </c>
      <c r="B100" s="31">
        <v>31</v>
      </c>
      <c r="C100" s="30" t="s">
        <v>82</v>
      </c>
      <c r="D100" s="30" t="s">
        <v>26</v>
      </c>
      <c r="E100" s="30" t="s">
        <v>87</v>
      </c>
      <c r="F100" s="30">
        <v>2012</v>
      </c>
      <c r="G100" s="28">
        <v>4409</v>
      </c>
      <c r="H100" s="28">
        <v>1708</v>
      </c>
      <c r="I100" s="28">
        <v>2701</v>
      </c>
      <c r="J100" s="28">
        <v>29066</v>
      </c>
      <c r="K100" s="28">
        <v>56</v>
      </c>
      <c r="L100" s="28">
        <v>10</v>
      </c>
      <c r="M100" s="28">
        <v>16</v>
      </c>
      <c r="N100" s="28">
        <v>3300</v>
      </c>
      <c r="O100" s="28">
        <v>113961.53601094714</v>
      </c>
      <c r="P100" s="28">
        <v>2684</v>
      </c>
      <c r="Q100" s="28">
        <v>4693</v>
      </c>
      <c r="R100" s="28">
        <v>843</v>
      </c>
      <c r="S100" s="28"/>
      <c r="T100" s="28"/>
      <c r="U100" s="28">
        <v>1718</v>
      </c>
      <c r="V100" s="28">
        <v>774</v>
      </c>
      <c r="W100" s="28">
        <v>871</v>
      </c>
      <c r="X100" s="28">
        <v>770</v>
      </c>
      <c r="Y100" s="28">
        <v>4409</v>
      </c>
      <c r="Z100" s="28">
        <v>77263516</v>
      </c>
      <c r="AA100" s="28">
        <v>275</v>
      </c>
      <c r="AB100" s="28">
        <v>367</v>
      </c>
      <c r="AC100" s="28">
        <v>7244</v>
      </c>
      <c r="AD100" s="28">
        <v>183</v>
      </c>
      <c r="AE100" s="28"/>
      <c r="AF100" s="28"/>
      <c r="AG100" s="28"/>
      <c r="AH100" s="28"/>
      <c r="AI100" s="28"/>
      <c r="AJ100" s="28"/>
      <c r="AK100" s="28"/>
      <c r="AL100" s="28"/>
      <c r="AM100" s="28"/>
      <c r="AN100" s="28"/>
      <c r="AO100" s="28"/>
      <c r="AP100" s="28"/>
      <c r="AQ100" s="28"/>
      <c r="AR100" s="28"/>
      <c r="AS100" s="28"/>
      <c r="AT100" s="28"/>
      <c r="AU100" s="28"/>
      <c r="AV100" s="28"/>
      <c r="AW100" s="28"/>
      <c r="AX100" s="28"/>
      <c r="AY100" s="28"/>
    </row>
    <row r="101" spans="1:51">
      <c r="A101" s="30" t="s">
        <v>49</v>
      </c>
      <c r="B101" s="31">
        <v>32</v>
      </c>
      <c r="C101" s="30" t="s">
        <v>83</v>
      </c>
      <c r="D101" s="30" t="s">
        <v>27</v>
      </c>
      <c r="E101" s="30" t="s">
        <v>87</v>
      </c>
      <c r="F101" s="30">
        <v>2012</v>
      </c>
      <c r="G101" s="28">
        <v>1722</v>
      </c>
      <c r="H101" s="28">
        <v>767</v>
      </c>
      <c r="I101" s="28">
        <v>955</v>
      </c>
      <c r="J101" s="28">
        <v>23608</v>
      </c>
      <c r="K101" s="28">
        <v>37</v>
      </c>
      <c r="L101" s="28">
        <v>13</v>
      </c>
      <c r="M101" s="28">
        <v>6</v>
      </c>
      <c r="N101" s="28">
        <v>1325</v>
      </c>
      <c r="O101" s="28">
        <v>91820.373265537899</v>
      </c>
      <c r="P101" s="28">
        <v>934</v>
      </c>
      <c r="Q101" s="28">
        <v>1588</v>
      </c>
      <c r="R101" s="28">
        <v>323</v>
      </c>
      <c r="S101" s="28"/>
      <c r="T101" s="28"/>
      <c r="U101" s="28">
        <v>806</v>
      </c>
      <c r="V101" s="28">
        <v>288</v>
      </c>
      <c r="W101" s="28">
        <v>214</v>
      </c>
      <c r="X101" s="28">
        <v>201</v>
      </c>
      <c r="Y101" s="28">
        <v>1722</v>
      </c>
      <c r="Z101" s="28">
        <v>32108696</v>
      </c>
      <c r="AA101" s="28">
        <v>95</v>
      </c>
      <c r="AB101" s="28">
        <v>155</v>
      </c>
      <c r="AC101" s="28">
        <v>2900</v>
      </c>
      <c r="AD101" s="28">
        <v>70</v>
      </c>
      <c r="AE101" s="28"/>
      <c r="AF101" s="28"/>
      <c r="AG101" s="28"/>
      <c r="AH101" s="28"/>
      <c r="AI101" s="28"/>
      <c r="AJ101" s="28"/>
      <c r="AK101" s="28"/>
      <c r="AL101" s="28"/>
      <c r="AM101" s="28"/>
      <c r="AN101" s="28"/>
      <c r="AO101" s="28"/>
      <c r="AP101" s="28"/>
      <c r="AQ101" s="28"/>
      <c r="AR101" s="28"/>
      <c r="AS101" s="28"/>
      <c r="AT101" s="28"/>
      <c r="AU101" s="28"/>
      <c r="AV101" s="28"/>
      <c r="AW101" s="28"/>
      <c r="AX101" s="28"/>
      <c r="AY101" s="28"/>
    </row>
    <row r="102" spans="1:51">
      <c r="A102" s="30" t="s">
        <v>124</v>
      </c>
      <c r="B102" s="31">
        <v>33</v>
      </c>
      <c r="C102" s="30" t="s">
        <v>125</v>
      </c>
      <c r="D102" s="30" t="s">
        <v>40</v>
      </c>
      <c r="E102" s="30" t="s">
        <v>87</v>
      </c>
      <c r="F102" s="30">
        <v>2012</v>
      </c>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row>
    <row r="103" spans="1:51">
      <c r="A103" s="30" t="s">
        <v>50</v>
      </c>
      <c r="B103" s="31">
        <v>0</v>
      </c>
      <c r="C103" s="30" t="s">
        <v>123</v>
      </c>
      <c r="D103" s="30" t="s">
        <v>39</v>
      </c>
      <c r="E103" s="30" t="s">
        <v>87</v>
      </c>
      <c r="F103" s="30">
        <v>2012</v>
      </c>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v>256402</v>
      </c>
      <c r="AK103" s="28">
        <v>1450045</v>
      </c>
      <c r="AL103" s="28">
        <v>1450045</v>
      </c>
      <c r="AM103" s="28">
        <v>1457806</v>
      </c>
      <c r="AN103" s="28">
        <v>1336007</v>
      </c>
      <c r="AO103" s="28">
        <v>1336007</v>
      </c>
      <c r="AP103" s="28">
        <v>1334976.8</v>
      </c>
      <c r="AQ103" s="28">
        <v>1339687.2</v>
      </c>
      <c r="AR103" s="28">
        <v>115068.5</v>
      </c>
      <c r="AS103" s="28">
        <v>118119</v>
      </c>
      <c r="AT103" s="28">
        <v>114038</v>
      </c>
      <c r="AU103" s="28">
        <v>1450045.3</v>
      </c>
      <c r="AV103" s="28">
        <v>113831</v>
      </c>
      <c r="AW103" s="28">
        <v>121799</v>
      </c>
      <c r="AX103" s="28">
        <v>1450045</v>
      </c>
      <c r="AY103" s="28">
        <v>1457806</v>
      </c>
    </row>
    <row r="104" spans="1:51">
      <c r="A104" s="32" t="s">
        <v>49</v>
      </c>
      <c r="B104" s="33">
        <v>1</v>
      </c>
      <c r="C104" s="32" t="s">
        <v>54</v>
      </c>
      <c r="D104" s="32" t="s">
        <v>1</v>
      </c>
      <c r="E104" s="32" t="s">
        <v>88</v>
      </c>
      <c r="F104" s="32">
        <v>2013</v>
      </c>
      <c r="G104" s="34">
        <v>4724</v>
      </c>
      <c r="H104" s="34">
        <v>1749</v>
      </c>
      <c r="I104" s="34">
        <v>2975</v>
      </c>
      <c r="J104" s="34">
        <v>22184</v>
      </c>
      <c r="K104" s="34">
        <v>84</v>
      </c>
      <c r="L104" s="34">
        <v>13</v>
      </c>
      <c r="M104" s="34">
        <v>19</v>
      </c>
      <c r="N104" s="34">
        <v>3957</v>
      </c>
      <c r="O104" s="34">
        <v>75231.71103324533</v>
      </c>
      <c r="P104" s="34">
        <v>3860</v>
      </c>
      <c r="Q104" s="34">
        <v>4876</v>
      </c>
      <c r="R104" s="34">
        <v>1235</v>
      </c>
      <c r="S104" s="34"/>
      <c r="T104" s="34"/>
      <c r="U104" s="34">
        <v>1791</v>
      </c>
      <c r="V104" s="34">
        <v>1076</v>
      </c>
      <c r="W104" s="34">
        <v>963</v>
      </c>
      <c r="X104" s="34">
        <v>848</v>
      </c>
      <c r="Y104" s="34">
        <v>4724</v>
      </c>
      <c r="Z104" s="34">
        <v>53064138</v>
      </c>
      <c r="AA104" s="34">
        <v>285</v>
      </c>
      <c r="AB104" s="34">
        <v>441</v>
      </c>
      <c r="AC104" s="34">
        <v>5889</v>
      </c>
      <c r="AD104" s="34">
        <v>545</v>
      </c>
      <c r="AE104" s="34"/>
      <c r="AF104" s="34"/>
      <c r="AG104" s="34"/>
      <c r="AH104" s="34">
        <v>327</v>
      </c>
      <c r="AI104" s="34"/>
      <c r="AJ104" s="34"/>
      <c r="AK104" s="34"/>
      <c r="AL104" s="34"/>
      <c r="AM104" s="34"/>
      <c r="AN104" s="34"/>
      <c r="AO104" s="34"/>
      <c r="AP104" s="34"/>
      <c r="AQ104" s="34"/>
      <c r="AR104" s="34"/>
      <c r="AS104" s="34"/>
      <c r="AT104" s="34"/>
      <c r="AU104" s="34"/>
      <c r="AV104" s="34"/>
      <c r="AW104" s="34"/>
      <c r="AX104" s="34"/>
      <c r="AY104" s="34"/>
    </row>
    <row r="105" spans="1:51">
      <c r="A105" s="32" t="s">
        <v>49</v>
      </c>
      <c r="B105" s="33">
        <v>2</v>
      </c>
      <c r="C105" s="32" t="s">
        <v>55</v>
      </c>
      <c r="D105" s="32" t="s">
        <v>3</v>
      </c>
      <c r="E105" s="32" t="s">
        <v>88</v>
      </c>
      <c r="F105" s="32">
        <v>2013</v>
      </c>
      <c r="G105" s="34">
        <v>7923</v>
      </c>
      <c r="H105" s="34">
        <v>3120</v>
      </c>
      <c r="I105" s="34">
        <v>4803</v>
      </c>
      <c r="J105" s="34">
        <v>50847</v>
      </c>
      <c r="K105" s="34">
        <v>118</v>
      </c>
      <c r="L105" s="34">
        <v>16</v>
      </c>
      <c r="M105" s="34">
        <v>25</v>
      </c>
      <c r="N105" s="34">
        <v>6510</v>
      </c>
      <c r="O105" s="34">
        <v>192570.33030696079</v>
      </c>
      <c r="P105" s="34">
        <v>3981</v>
      </c>
      <c r="Q105" s="34">
        <v>8368</v>
      </c>
      <c r="R105" s="34">
        <v>1836</v>
      </c>
      <c r="S105" s="34"/>
      <c r="T105" s="34"/>
      <c r="U105" s="34">
        <v>3518</v>
      </c>
      <c r="V105" s="34">
        <v>1654</v>
      </c>
      <c r="W105" s="34">
        <v>1526</v>
      </c>
      <c r="X105" s="34">
        <v>1480</v>
      </c>
      <c r="Y105" s="34">
        <v>7923</v>
      </c>
      <c r="Z105" s="34">
        <v>113761602</v>
      </c>
      <c r="AA105" s="34">
        <v>394</v>
      </c>
      <c r="AB105" s="34">
        <v>714</v>
      </c>
      <c r="AC105" s="34">
        <v>11950</v>
      </c>
      <c r="AD105" s="34">
        <v>183</v>
      </c>
      <c r="AE105" s="34"/>
      <c r="AF105" s="34"/>
      <c r="AG105" s="34"/>
      <c r="AH105" s="34">
        <v>0</v>
      </c>
      <c r="AI105" s="34">
        <v>1693</v>
      </c>
      <c r="AJ105" s="34"/>
      <c r="AK105" s="34"/>
      <c r="AL105" s="34"/>
      <c r="AM105" s="34"/>
      <c r="AN105" s="34"/>
      <c r="AO105" s="34"/>
      <c r="AP105" s="34"/>
      <c r="AQ105" s="34"/>
      <c r="AR105" s="34"/>
      <c r="AS105" s="34"/>
      <c r="AT105" s="34"/>
      <c r="AU105" s="34"/>
      <c r="AV105" s="34"/>
      <c r="AW105" s="34"/>
      <c r="AX105" s="34"/>
      <c r="AY105" s="34"/>
    </row>
    <row r="106" spans="1:51">
      <c r="A106" s="32" t="s">
        <v>49</v>
      </c>
      <c r="B106" s="33">
        <v>3</v>
      </c>
      <c r="C106" s="32" t="s">
        <v>56</v>
      </c>
      <c r="D106" s="32" t="s">
        <v>4</v>
      </c>
      <c r="E106" s="32" t="s">
        <v>88</v>
      </c>
      <c r="F106" s="32">
        <v>2013</v>
      </c>
      <c r="G106" s="34">
        <v>2058</v>
      </c>
      <c r="H106" s="34">
        <v>884</v>
      </c>
      <c r="I106" s="34">
        <v>1174</v>
      </c>
      <c r="J106" s="34">
        <v>10507</v>
      </c>
      <c r="K106" s="34">
        <v>29</v>
      </c>
      <c r="L106" s="34">
        <v>7</v>
      </c>
      <c r="M106" s="34">
        <v>2</v>
      </c>
      <c r="N106" s="34">
        <v>1587</v>
      </c>
      <c r="O106" s="34">
        <v>38630.89366289071</v>
      </c>
      <c r="P106" s="34">
        <v>1399</v>
      </c>
      <c r="Q106" s="34">
        <v>1902</v>
      </c>
      <c r="R106" s="34">
        <v>411</v>
      </c>
      <c r="S106" s="34"/>
      <c r="T106" s="34"/>
      <c r="U106" s="34">
        <v>724</v>
      </c>
      <c r="V106" s="34">
        <v>366</v>
      </c>
      <c r="W106" s="34">
        <v>420</v>
      </c>
      <c r="X106" s="34">
        <v>394</v>
      </c>
      <c r="Y106" s="34">
        <v>2058</v>
      </c>
      <c r="Z106" s="34">
        <v>28483347</v>
      </c>
      <c r="AA106" s="34">
        <v>105</v>
      </c>
      <c r="AB106" s="34">
        <v>203</v>
      </c>
      <c r="AC106" s="34">
        <v>2477</v>
      </c>
      <c r="AD106" s="34">
        <v>258</v>
      </c>
      <c r="AE106" s="34"/>
      <c r="AF106" s="34"/>
      <c r="AG106" s="34"/>
      <c r="AH106" s="34">
        <v>0</v>
      </c>
      <c r="AI106" s="34"/>
      <c r="AJ106" s="34"/>
      <c r="AK106" s="34"/>
      <c r="AL106" s="34"/>
      <c r="AM106" s="34"/>
      <c r="AN106" s="34"/>
      <c r="AO106" s="34"/>
      <c r="AP106" s="34"/>
      <c r="AQ106" s="34"/>
      <c r="AR106" s="34"/>
      <c r="AS106" s="34"/>
      <c r="AT106" s="34"/>
      <c r="AU106" s="34"/>
      <c r="AV106" s="34"/>
      <c r="AW106" s="34"/>
      <c r="AX106" s="34"/>
      <c r="AY106" s="34"/>
    </row>
    <row r="107" spans="1:51">
      <c r="A107" s="32" t="s">
        <v>49</v>
      </c>
      <c r="B107" s="33">
        <v>4</v>
      </c>
      <c r="C107" s="32" t="s">
        <v>57</v>
      </c>
      <c r="D107" s="32" t="s">
        <v>5</v>
      </c>
      <c r="E107" s="32" t="s">
        <v>88</v>
      </c>
      <c r="F107" s="32">
        <v>2013</v>
      </c>
      <c r="G107" s="34">
        <v>1930</v>
      </c>
      <c r="H107" s="34">
        <v>799</v>
      </c>
      <c r="I107" s="34">
        <v>1131</v>
      </c>
      <c r="J107" s="34">
        <v>12284</v>
      </c>
      <c r="K107" s="34">
        <v>36</v>
      </c>
      <c r="L107" s="34">
        <v>8</v>
      </c>
      <c r="M107" s="34">
        <v>16</v>
      </c>
      <c r="N107" s="34">
        <v>1376</v>
      </c>
      <c r="O107" s="34">
        <v>49606.327829282833</v>
      </c>
      <c r="P107" s="34">
        <v>958</v>
      </c>
      <c r="Q107" s="34">
        <v>1864</v>
      </c>
      <c r="R107" s="34">
        <v>375</v>
      </c>
      <c r="S107" s="34"/>
      <c r="T107" s="34"/>
      <c r="U107" s="34">
        <v>760</v>
      </c>
      <c r="V107" s="34">
        <v>347</v>
      </c>
      <c r="W107" s="34">
        <v>274</v>
      </c>
      <c r="X107" s="34">
        <v>266</v>
      </c>
      <c r="Y107" s="34">
        <v>1930</v>
      </c>
      <c r="Z107" s="34">
        <v>34103141</v>
      </c>
      <c r="AA107" s="34">
        <v>107</v>
      </c>
      <c r="AB107" s="34">
        <v>280</v>
      </c>
      <c r="AC107" s="34">
        <v>2177</v>
      </c>
      <c r="AD107" s="34">
        <v>750</v>
      </c>
      <c r="AE107" s="34"/>
      <c r="AF107" s="34"/>
      <c r="AG107" s="34"/>
      <c r="AH107" s="34">
        <v>625</v>
      </c>
      <c r="AI107" s="34"/>
      <c r="AJ107" s="34"/>
      <c r="AK107" s="34"/>
      <c r="AL107" s="34"/>
      <c r="AM107" s="34"/>
      <c r="AN107" s="34"/>
      <c r="AO107" s="34"/>
      <c r="AP107" s="34"/>
      <c r="AQ107" s="34"/>
      <c r="AR107" s="34"/>
      <c r="AS107" s="34"/>
      <c r="AT107" s="34"/>
      <c r="AU107" s="34"/>
      <c r="AV107" s="34"/>
      <c r="AW107" s="34"/>
      <c r="AX107" s="34"/>
      <c r="AY107" s="34"/>
    </row>
    <row r="108" spans="1:51">
      <c r="A108" s="32" t="s">
        <v>49</v>
      </c>
      <c r="B108" s="33">
        <v>7</v>
      </c>
      <c r="C108" s="32" t="s">
        <v>58</v>
      </c>
      <c r="D108" s="32" t="s">
        <v>6</v>
      </c>
      <c r="E108" s="32" t="s">
        <v>88</v>
      </c>
      <c r="F108" s="32">
        <v>2013</v>
      </c>
      <c r="G108" s="34">
        <v>7916</v>
      </c>
      <c r="H108" s="34">
        <v>3054</v>
      </c>
      <c r="I108" s="34">
        <v>4862</v>
      </c>
      <c r="J108" s="34">
        <v>85235</v>
      </c>
      <c r="K108" s="34">
        <v>143</v>
      </c>
      <c r="L108" s="34">
        <v>21</v>
      </c>
      <c r="M108" s="34">
        <v>42</v>
      </c>
      <c r="N108" s="34">
        <v>5924</v>
      </c>
      <c r="O108" s="34">
        <v>339210.95663831854</v>
      </c>
      <c r="P108" s="34">
        <v>4091</v>
      </c>
      <c r="Q108" s="34">
        <v>7730</v>
      </c>
      <c r="R108" s="34">
        <v>1854</v>
      </c>
      <c r="S108" s="34"/>
      <c r="T108" s="34"/>
      <c r="U108" s="34">
        <v>3009</v>
      </c>
      <c r="V108" s="34">
        <v>1710</v>
      </c>
      <c r="W108" s="34">
        <v>1305</v>
      </c>
      <c r="X108" s="34">
        <v>1212</v>
      </c>
      <c r="Y108" s="34">
        <v>7916</v>
      </c>
      <c r="Z108" s="34">
        <v>132254276</v>
      </c>
      <c r="AA108" s="34">
        <v>445</v>
      </c>
      <c r="AB108" s="34">
        <v>558</v>
      </c>
      <c r="AC108" s="34">
        <v>5222</v>
      </c>
      <c r="AD108" s="34">
        <v>13</v>
      </c>
      <c r="AE108" s="34"/>
      <c r="AF108" s="34"/>
      <c r="AG108" s="34"/>
      <c r="AH108" s="34">
        <v>256</v>
      </c>
      <c r="AI108" s="34"/>
      <c r="AJ108" s="34"/>
      <c r="AK108" s="34"/>
      <c r="AL108" s="34"/>
      <c r="AM108" s="34"/>
      <c r="AN108" s="34"/>
      <c r="AO108" s="34"/>
      <c r="AP108" s="34"/>
      <c r="AQ108" s="34"/>
      <c r="AR108" s="34"/>
      <c r="AS108" s="34"/>
      <c r="AT108" s="34"/>
      <c r="AU108" s="34"/>
      <c r="AV108" s="34"/>
      <c r="AW108" s="34"/>
      <c r="AX108" s="34"/>
      <c r="AY108" s="34"/>
    </row>
    <row r="109" spans="1:51">
      <c r="A109" s="32" t="s">
        <v>49</v>
      </c>
      <c r="B109" s="33">
        <v>8</v>
      </c>
      <c r="C109" s="32" t="s">
        <v>59</v>
      </c>
      <c r="D109" s="32" t="s">
        <v>7</v>
      </c>
      <c r="E109" s="32" t="s">
        <v>88</v>
      </c>
      <c r="F109" s="32">
        <v>2013</v>
      </c>
      <c r="G109" s="34">
        <v>9072</v>
      </c>
      <c r="H109" s="34">
        <v>3670</v>
      </c>
      <c r="I109" s="34">
        <v>5402</v>
      </c>
      <c r="J109" s="34">
        <v>53834</v>
      </c>
      <c r="K109" s="34">
        <v>143</v>
      </c>
      <c r="L109" s="34">
        <v>26</v>
      </c>
      <c r="M109" s="34">
        <v>40</v>
      </c>
      <c r="N109" s="34">
        <v>7458</v>
      </c>
      <c r="O109" s="34">
        <v>201420.28859328708</v>
      </c>
      <c r="P109" s="34">
        <v>4392</v>
      </c>
      <c r="Q109" s="34">
        <v>9183</v>
      </c>
      <c r="R109" s="34">
        <v>1832</v>
      </c>
      <c r="S109" s="34"/>
      <c r="T109" s="34"/>
      <c r="U109" s="34">
        <v>3668</v>
      </c>
      <c r="V109" s="34">
        <v>1658</v>
      </c>
      <c r="W109" s="34">
        <v>1499</v>
      </c>
      <c r="X109" s="34">
        <v>1450</v>
      </c>
      <c r="Y109" s="34">
        <v>9072</v>
      </c>
      <c r="Z109" s="34">
        <v>126336677</v>
      </c>
      <c r="AA109" s="34">
        <v>604</v>
      </c>
      <c r="AB109" s="34">
        <v>856</v>
      </c>
      <c r="AC109" s="34">
        <v>11054</v>
      </c>
      <c r="AD109" s="34">
        <v>2633</v>
      </c>
      <c r="AE109" s="34"/>
      <c r="AF109" s="34"/>
      <c r="AG109" s="34"/>
      <c r="AH109" s="34">
        <v>4469</v>
      </c>
      <c r="AI109" s="34">
        <v>962</v>
      </c>
      <c r="AJ109" s="34"/>
      <c r="AK109" s="34"/>
      <c r="AL109" s="34"/>
      <c r="AM109" s="34"/>
      <c r="AN109" s="34"/>
      <c r="AO109" s="34"/>
      <c r="AP109" s="34"/>
      <c r="AQ109" s="34"/>
      <c r="AR109" s="34"/>
      <c r="AS109" s="34"/>
      <c r="AT109" s="34"/>
      <c r="AU109" s="34"/>
      <c r="AV109" s="34"/>
      <c r="AW109" s="34"/>
      <c r="AX109" s="34"/>
      <c r="AY109" s="34"/>
    </row>
    <row r="110" spans="1:51">
      <c r="A110" s="32" t="s">
        <v>50</v>
      </c>
      <c r="B110" s="33">
        <v>9</v>
      </c>
      <c r="C110" s="32" t="s">
        <v>84</v>
      </c>
      <c r="D110" s="32" t="s">
        <v>32</v>
      </c>
      <c r="E110" s="32" t="s">
        <v>88</v>
      </c>
      <c r="F110" s="32">
        <v>2013</v>
      </c>
      <c r="G110" s="34">
        <v>42808</v>
      </c>
      <c r="H110" s="34">
        <v>17832</v>
      </c>
      <c r="I110" s="34">
        <v>24976</v>
      </c>
      <c r="J110" s="34">
        <v>128608</v>
      </c>
      <c r="K110" s="34">
        <v>545</v>
      </c>
      <c r="L110" s="34">
        <v>91</v>
      </c>
      <c r="M110" s="34">
        <v>164</v>
      </c>
      <c r="N110" s="34">
        <v>31960</v>
      </c>
      <c r="O110" s="34">
        <v>416841.07252891117</v>
      </c>
      <c r="P110" s="34">
        <v>22668</v>
      </c>
      <c r="Q110" s="34">
        <v>43673</v>
      </c>
      <c r="R110" s="34">
        <v>9190</v>
      </c>
      <c r="S110" s="34"/>
      <c r="T110" s="34"/>
      <c r="U110" s="34">
        <v>20540</v>
      </c>
      <c r="V110" s="34">
        <v>7987</v>
      </c>
      <c r="W110" s="34">
        <v>7474</v>
      </c>
      <c r="X110" s="34">
        <v>4963</v>
      </c>
      <c r="Y110" s="34"/>
      <c r="Z110" s="34"/>
      <c r="AA110" s="34">
        <v>2120</v>
      </c>
      <c r="AB110" s="34">
        <v>3101</v>
      </c>
      <c r="AC110" s="34">
        <v>20448</v>
      </c>
      <c r="AD110" s="34">
        <v>2193</v>
      </c>
      <c r="AE110" s="34"/>
      <c r="AF110" s="34"/>
      <c r="AG110" s="34"/>
      <c r="AH110" s="34">
        <v>1443</v>
      </c>
      <c r="AI110" s="34"/>
      <c r="AJ110" s="34"/>
      <c r="AK110" s="34"/>
      <c r="AL110" s="34"/>
      <c r="AM110" s="34"/>
      <c r="AN110" s="34"/>
      <c r="AO110" s="34"/>
      <c r="AP110" s="34"/>
      <c r="AQ110" s="34"/>
      <c r="AR110" s="34"/>
      <c r="AS110" s="34"/>
      <c r="AT110" s="34"/>
      <c r="AU110" s="34"/>
      <c r="AV110" s="34"/>
      <c r="AW110" s="34"/>
      <c r="AX110" s="34"/>
      <c r="AY110" s="34"/>
    </row>
    <row r="111" spans="1:51">
      <c r="A111" s="32" t="s">
        <v>49</v>
      </c>
      <c r="B111" s="33">
        <v>5</v>
      </c>
      <c r="C111" s="32" t="s">
        <v>60</v>
      </c>
      <c r="D111" s="32" t="s">
        <v>31</v>
      </c>
      <c r="E111" s="32" t="s">
        <v>88</v>
      </c>
      <c r="F111" s="32">
        <v>2013</v>
      </c>
      <c r="G111" s="34">
        <v>7891</v>
      </c>
      <c r="H111" s="34">
        <v>3155</v>
      </c>
      <c r="I111" s="34">
        <v>4736</v>
      </c>
      <c r="J111" s="34">
        <v>43223</v>
      </c>
      <c r="K111" s="34">
        <v>132</v>
      </c>
      <c r="L111" s="34">
        <v>31</v>
      </c>
      <c r="M111" s="34">
        <v>42</v>
      </c>
      <c r="N111" s="34">
        <v>7051</v>
      </c>
      <c r="O111" s="34">
        <v>163236.43417178339</v>
      </c>
      <c r="P111" s="34">
        <v>4144</v>
      </c>
      <c r="Q111" s="34">
        <v>8071</v>
      </c>
      <c r="R111" s="34">
        <v>1943</v>
      </c>
      <c r="S111" s="34"/>
      <c r="T111" s="34"/>
      <c r="U111" s="34">
        <v>3257</v>
      </c>
      <c r="V111" s="34">
        <v>1767</v>
      </c>
      <c r="W111" s="34">
        <v>1594</v>
      </c>
      <c r="X111" s="34">
        <v>1593</v>
      </c>
      <c r="Y111" s="34">
        <v>7891</v>
      </c>
      <c r="Z111" s="34">
        <v>124076457</v>
      </c>
      <c r="AA111" s="34">
        <v>426</v>
      </c>
      <c r="AB111" s="34">
        <v>943</v>
      </c>
      <c r="AC111" s="34">
        <v>12186</v>
      </c>
      <c r="AD111" s="34">
        <v>1121</v>
      </c>
      <c r="AE111" s="34"/>
      <c r="AF111" s="34"/>
      <c r="AG111" s="34"/>
      <c r="AH111" s="34">
        <v>1346</v>
      </c>
      <c r="AI111" s="34"/>
      <c r="AJ111" s="34"/>
      <c r="AK111" s="34"/>
      <c r="AL111" s="34"/>
      <c r="AM111" s="34"/>
      <c r="AN111" s="34"/>
      <c r="AO111" s="34"/>
      <c r="AP111" s="34"/>
      <c r="AQ111" s="34"/>
      <c r="AR111" s="34"/>
      <c r="AS111" s="34"/>
      <c r="AT111" s="34"/>
      <c r="AU111" s="34"/>
      <c r="AV111" s="34"/>
      <c r="AW111" s="34"/>
      <c r="AX111" s="34"/>
      <c r="AY111" s="34"/>
    </row>
    <row r="112" spans="1:51">
      <c r="A112" s="32" t="s">
        <v>49</v>
      </c>
      <c r="B112" s="33">
        <v>6</v>
      </c>
      <c r="C112" s="32" t="s">
        <v>61</v>
      </c>
      <c r="D112" s="32" t="s">
        <v>8</v>
      </c>
      <c r="E112" s="32" t="s">
        <v>88</v>
      </c>
      <c r="F112" s="32">
        <v>2013</v>
      </c>
      <c r="G112" s="34">
        <v>1883</v>
      </c>
      <c r="H112" s="34">
        <v>813</v>
      </c>
      <c r="I112" s="34">
        <v>1070</v>
      </c>
      <c r="J112" s="34">
        <v>8912</v>
      </c>
      <c r="K112" s="34">
        <v>41</v>
      </c>
      <c r="L112" s="34">
        <v>6</v>
      </c>
      <c r="M112" s="34">
        <v>10</v>
      </c>
      <c r="N112" s="34">
        <v>1151</v>
      </c>
      <c r="O112" s="34">
        <v>37630.754876559426</v>
      </c>
      <c r="P112" s="34">
        <v>948</v>
      </c>
      <c r="Q112" s="34">
        <v>1864</v>
      </c>
      <c r="R112" s="34">
        <v>362</v>
      </c>
      <c r="S112" s="34"/>
      <c r="T112" s="34"/>
      <c r="U112" s="34">
        <v>778</v>
      </c>
      <c r="V112" s="34">
        <v>311</v>
      </c>
      <c r="W112" s="34">
        <v>299</v>
      </c>
      <c r="X112" s="34">
        <v>282</v>
      </c>
      <c r="Y112" s="34">
        <v>1883</v>
      </c>
      <c r="Z112" s="34">
        <v>34433440</v>
      </c>
      <c r="AA112" s="34">
        <v>122</v>
      </c>
      <c r="AB112" s="34">
        <v>289</v>
      </c>
      <c r="AC112" s="34">
        <v>3260</v>
      </c>
      <c r="AD112" s="34">
        <v>278</v>
      </c>
      <c r="AE112" s="34"/>
      <c r="AF112" s="34"/>
      <c r="AG112" s="34"/>
      <c r="AH112" s="34">
        <v>2</v>
      </c>
      <c r="AI112" s="34"/>
      <c r="AJ112" s="34"/>
      <c r="AK112" s="34"/>
      <c r="AL112" s="34"/>
      <c r="AM112" s="34"/>
      <c r="AN112" s="34"/>
      <c r="AO112" s="34"/>
      <c r="AP112" s="34"/>
      <c r="AQ112" s="34"/>
      <c r="AR112" s="34"/>
      <c r="AS112" s="34"/>
      <c r="AT112" s="34"/>
      <c r="AU112" s="34"/>
      <c r="AV112" s="34"/>
      <c r="AW112" s="34"/>
      <c r="AX112" s="34"/>
      <c r="AY112" s="34"/>
    </row>
    <row r="113" spans="1:51">
      <c r="A113" s="32" t="s">
        <v>49</v>
      </c>
      <c r="B113" s="33">
        <v>10</v>
      </c>
      <c r="C113" s="32" t="s">
        <v>62</v>
      </c>
      <c r="D113" s="32" t="s">
        <v>9</v>
      </c>
      <c r="E113" s="32" t="s">
        <v>88</v>
      </c>
      <c r="F113" s="32">
        <v>2013</v>
      </c>
      <c r="G113" s="34">
        <v>2413</v>
      </c>
      <c r="H113" s="34">
        <v>1022</v>
      </c>
      <c r="I113" s="34">
        <v>1391</v>
      </c>
      <c r="J113" s="34">
        <v>28121</v>
      </c>
      <c r="K113" s="34">
        <v>45</v>
      </c>
      <c r="L113" s="34">
        <v>13</v>
      </c>
      <c r="M113" s="34">
        <v>11</v>
      </c>
      <c r="N113" s="34">
        <v>2057</v>
      </c>
      <c r="O113" s="34">
        <v>104245.78939787953</v>
      </c>
      <c r="P113" s="34">
        <v>1204</v>
      </c>
      <c r="Q113" s="34">
        <v>2386</v>
      </c>
      <c r="R113" s="34">
        <v>447</v>
      </c>
      <c r="S113" s="34"/>
      <c r="T113" s="34"/>
      <c r="U113" s="34">
        <v>1008</v>
      </c>
      <c r="V113" s="34">
        <v>388</v>
      </c>
      <c r="W113" s="34">
        <v>389</v>
      </c>
      <c r="X113" s="34">
        <v>305</v>
      </c>
      <c r="Y113" s="34">
        <v>2413</v>
      </c>
      <c r="Z113" s="34">
        <v>33640421</v>
      </c>
      <c r="AA113" s="34">
        <v>165</v>
      </c>
      <c r="AB113" s="34">
        <v>245</v>
      </c>
      <c r="AC113" s="34">
        <v>7093</v>
      </c>
      <c r="AD113" s="34">
        <v>318</v>
      </c>
      <c r="AE113" s="34"/>
      <c r="AF113" s="34"/>
      <c r="AG113" s="34"/>
      <c r="AH113" s="34">
        <v>512</v>
      </c>
      <c r="AI113" s="34"/>
      <c r="AJ113" s="34"/>
      <c r="AK113" s="34"/>
      <c r="AL113" s="34"/>
      <c r="AM113" s="34"/>
      <c r="AN113" s="34"/>
      <c r="AO113" s="34"/>
      <c r="AP113" s="34"/>
      <c r="AQ113" s="34"/>
      <c r="AR113" s="34"/>
      <c r="AS113" s="34"/>
      <c r="AT113" s="34"/>
      <c r="AU113" s="34"/>
      <c r="AV113" s="34"/>
      <c r="AW113" s="34"/>
      <c r="AX113" s="34"/>
      <c r="AY113" s="34"/>
    </row>
    <row r="114" spans="1:51">
      <c r="A114" s="32" t="s">
        <v>49</v>
      </c>
      <c r="B114" s="33">
        <v>11</v>
      </c>
      <c r="C114" s="32" t="s">
        <v>63</v>
      </c>
      <c r="D114" s="32" t="s">
        <v>10</v>
      </c>
      <c r="E114" s="32" t="s">
        <v>88</v>
      </c>
      <c r="F114" s="32">
        <v>2013</v>
      </c>
      <c r="G114" s="34">
        <v>18280</v>
      </c>
      <c r="H114" s="34">
        <v>8079</v>
      </c>
      <c r="I114" s="34">
        <v>10201</v>
      </c>
      <c r="J114" s="34">
        <v>92929</v>
      </c>
      <c r="K114" s="34">
        <v>254</v>
      </c>
      <c r="L114" s="34">
        <v>60</v>
      </c>
      <c r="M114" s="34">
        <v>81</v>
      </c>
      <c r="N114" s="34">
        <v>15586</v>
      </c>
      <c r="O114" s="34">
        <v>350709.29111595784</v>
      </c>
      <c r="P114" s="34">
        <v>12334</v>
      </c>
      <c r="Q114" s="34">
        <v>16619</v>
      </c>
      <c r="R114" s="34">
        <v>4270</v>
      </c>
      <c r="S114" s="34"/>
      <c r="T114" s="34"/>
      <c r="U114" s="34">
        <v>6317</v>
      </c>
      <c r="V114" s="34">
        <v>3989</v>
      </c>
      <c r="W114" s="34">
        <v>3531</v>
      </c>
      <c r="X114" s="34">
        <v>3297</v>
      </c>
      <c r="Y114" s="34">
        <v>18280</v>
      </c>
      <c r="Z114" s="34">
        <v>202301884</v>
      </c>
      <c r="AA114" s="34">
        <v>917</v>
      </c>
      <c r="AB114" s="34">
        <v>1986</v>
      </c>
      <c r="AC114" s="34">
        <v>22717</v>
      </c>
      <c r="AD114" s="34">
        <v>2129</v>
      </c>
      <c r="AE114" s="34"/>
      <c r="AF114" s="34"/>
      <c r="AG114" s="34"/>
      <c r="AH114" s="34">
        <v>599</v>
      </c>
      <c r="AI114" s="34">
        <v>8974</v>
      </c>
      <c r="AJ114" s="34"/>
      <c r="AK114" s="34"/>
      <c r="AL114" s="34"/>
      <c r="AM114" s="34"/>
      <c r="AN114" s="34"/>
      <c r="AO114" s="34"/>
      <c r="AP114" s="34"/>
      <c r="AQ114" s="34"/>
      <c r="AR114" s="34"/>
      <c r="AS114" s="34"/>
      <c r="AT114" s="34"/>
      <c r="AU114" s="34"/>
      <c r="AV114" s="34"/>
      <c r="AW114" s="34"/>
      <c r="AX114" s="34"/>
      <c r="AY114" s="34"/>
    </row>
    <row r="115" spans="1:51">
      <c r="A115" s="32" t="s">
        <v>49</v>
      </c>
      <c r="B115" s="33">
        <v>12</v>
      </c>
      <c r="C115" s="32" t="s">
        <v>64</v>
      </c>
      <c r="D115" s="32" t="s">
        <v>11</v>
      </c>
      <c r="E115" s="32" t="s">
        <v>88</v>
      </c>
      <c r="F115" s="32">
        <v>2013</v>
      </c>
      <c r="G115" s="34">
        <v>6996</v>
      </c>
      <c r="H115" s="34">
        <v>2731</v>
      </c>
      <c r="I115" s="34">
        <v>4265</v>
      </c>
      <c r="J115" s="34">
        <v>57748</v>
      </c>
      <c r="K115" s="34">
        <v>118</v>
      </c>
      <c r="L115" s="34">
        <v>25</v>
      </c>
      <c r="M115" s="34">
        <v>39</v>
      </c>
      <c r="N115" s="34">
        <v>5628</v>
      </c>
      <c r="O115" s="34">
        <v>229444.85510118637</v>
      </c>
      <c r="P115" s="34">
        <v>3569</v>
      </c>
      <c r="Q115" s="34">
        <v>7047</v>
      </c>
      <c r="R115" s="34">
        <v>1624</v>
      </c>
      <c r="S115" s="34"/>
      <c r="T115" s="34"/>
      <c r="U115" s="34">
        <v>3069</v>
      </c>
      <c r="V115" s="34">
        <v>1531</v>
      </c>
      <c r="W115" s="34">
        <v>1318</v>
      </c>
      <c r="X115" s="34">
        <v>1020</v>
      </c>
      <c r="Y115" s="34">
        <v>6996</v>
      </c>
      <c r="Z115" s="34">
        <v>110429628</v>
      </c>
      <c r="AA115" s="34">
        <v>327</v>
      </c>
      <c r="AB115" s="34">
        <v>608</v>
      </c>
      <c r="AC115" s="34">
        <v>4631</v>
      </c>
      <c r="AD115" s="34">
        <v>1238</v>
      </c>
      <c r="AE115" s="34"/>
      <c r="AF115" s="34"/>
      <c r="AG115" s="34"/>
      <c r="AH115" s="34">
        <v>1886</v>
      </c>
      <c r="AI115" s="34"/>
      <c r="AJ115" s="34"/>
      <c r="AK115" s="34"/>
      <c r="AL115" s="34"/>
      <c r="AM115" s="34"/>
      <c r="AN115" s="34"/>
      <c r="AO115" s="34"/>
      <c r="AP115" s="34"/>
      <c r="AQ115" s="34"/>
      <c r="AR115" s="34"/>
      <c r="AS115" s="34"/>
      <c r="AT115" s="34"/>
      <c r="AU115" s="34"/>
      <c r="AV115" s="34"/>
      <c r="AW115" s="34"/>
      <c r="AX115" s="34"/>
      <c r="AY115" s="34"/>
    </row>
    <row r="116" spans="1:51">
      <c r="A116" s="32" t="s">
        <v>49</v>
      </c>
      <c r="B116" s="33">
        <v>13</v>
      </c>
      <c r="C116" s="32" t="s">
        <v>65</v>
      </c>
      <c r="D116" s="32" t="s">
        <v>12</v>
      </c>
      <c r="E116" s="32" t="s">
        <v>88</v>
      </c>
      <c r="F116" s="32">
        <v>2013</v>
      </c>
      <c r="G116" s="34">
        <v>3924</v>
      </c>
      <c r="H116" s="34">
        <v>1716</v>
      </c>
      <c r="I116" s="34">
        <v>2208</v>
      </c>
      <c r="J116" s="34">
        <v>48232</v>
      </c>
      <c r="K116" s="34">
        <v>65</v>
      </c>
      <c r="L116" s="34">
        <v>27</v>
      </c>
      <c r="M116" s="34">
        <v>26</v>
      </c>
      <c r="N116" s="34">
        <v>3007</v>
      </c>
      <c r="O116" s="34">
        <v>160236.09623416909</v>
      </c>
      <c r="P116" s="34">
        <v>2104</v>
      </c>
      <c r="Q116" s="34">
        <v>3690</v>
      </c>
      <c r="R116" s="34">
        <v>794</v>
      </c>
      <c r="S116" s="34"/>
      <c r="T116" s="34"/>
      <c r="U116" s="34">
        <v>1445</v>
      </c>
      <c r="V116" s="34">
        <v>696</v>
      </c>
      <c r="W116" s="34">
        <v>719</v>
      </c>
      <c r="X116" s="34">
        <v>715</v>
      </c>
      <c r="Y116" s="34">
        <v>3924</v>
      </c>
      <c r="Z116" s="34">
        <v>52946557</v>
      </c>
      <c r="AA116" s="34">
        <v>222</v>
      </c>
      <c r="AB116" s="34">
        <v>404</v>
      </c>
      <c r="AC116" s="34">
        <v>2670</v>
      </c>
      <c r="AD116" s="34">
        <v>247</v>
      </c>
      <c r="AE116" s="34"/>
      <c r="AF116" s="34"/>
      <c r="AG116" s="34"/>
      <c r="AH116" s="34">
        <v>207</v>
      </c>
      <c r="AI116" s="34"/>
      <c r="AJ116" s="34"/>
      <c r="AK116" s="34"/>
      <c r="AL116" s="34"/>
      <c r="AM116" s="34"/>
      <c r="AN116" s="34"/>
      <c r="AO116" s="34"/>
      <c r="AP116" s="34"/>
      <c r="AQ116" s="34"/>
      <c r="AR116" s="34"/>
      <c r="AS116" s="34"/>
      <c r="AT116" s="34"/>
      <c r="AU116" s="34"/>
      <c r="AV116" s="34"/>
      <c r="AW116" s="34"/>
      <c r="AX116" s="34"/>
      <c r="AY116" s="34"/>
    </row>
    <row r="117" spans="1:51">
      <c r="A117" s="32" t="s">
        <v>49</v>
      </c>
      <c r="B117" s="33">
        <v>14</v>
      </c>
      <c r="C117" s="32" t="s">
        <v>66</v>
      </c>
      <c r="D117" s="32" t="s">
        <v>13</v>
      </c>
      <c r="E117" s="32" t="s">
        <v>88</v>
      </c>
      <c r="F117" s="32">
        <v>2013</v>
      </c>
      <c r="G117" s="34">
        <v>14705</v>
      </c>
      <c r="H117" s="34">
        <v>5644</v>
      </c>
      <c r="I117" s="34">
        <v>9061</v>
      </c>
      <c r="J117" s="34">
        <v>110165</v>
      </c>
      <c r="K117" s="34">
        <v>255</v>
      </c>
      <c r="L117" s="34">
        <v>32</v>
      </c>
      <c r="M117" s="34">
        <v>75</v>
      </c>
      <c r="N117" s="34">
        <v>11660</v>
      </c>
      <c r="O117" s="34">
        <v>435539.89541535149</v>
      </c>
      <c r="P117" s="34">
        <v>7428</v>
      </c>
      <c r="Q117" s="34">
        <v>15407</v>
      </c>
      <c r="R117" s="34">
        <v>3549</v>
      </c>
      <c r="S117" s="34"/>
      <c r="T117" s="34"/>
      <c r="U117" s="34">
        <v>6042</v>
      </c>
      <c r="V117" s="34">
        <v>3118</v>
      </c>
      <c r="W117" s="34">
        <v>2939</v>
      </c>
      <c r="X117" s="34">
        <v>2839</v>
      </c>
      <c r="Y117" s="34">
        <v>14705</v>
      </c>
      <c r="Z117" s="34">
        <v>214696273</v>
      </c>
      <c r="AA117" s="34">
        <v>879</v>
      </c>
      <c r="AB117" s="34">
        <v>2076</v>
      </c>
      <c r="AC117" s="34">
        <v>23920</v>
      </c>
      <c r="AD117" s="34">
        <v>2393</v>
      </c>
      <c r="AE117" s="34"/>
      <c r="AF117" s="34"/>
      <c r="AG117" s="34"/>
      <c r="AH117" s="34">
        <v>35</v>
      </c>
      <c r="AI117" s="34">
        <v>427</v>
      </c>
      <c r="AJ117" s="34"/>
      <c r="AK117" s="34"/>
      <c r="AL117" s="34"/>
      <c r="AM117" s="34"/>
      <c r="AN117" s="34"/>
      <c r="AO117" s="34"/>
      <c r="AP117" s="34"/>
      <c r="AQ117" s="34"/>
      <c r="AR117" s="34"/>
      <c r="AS117" s="34"/>
      <c r="AT117" s="34"/>
      <c r="AU117" s="34"/>
      <c r="AV117" s="34"/>
      <c r="AW117" s="34"/>
      <c r="AX117" s="34"/>
      <c r="AY117" s="34"/>
    </row>
    <row r="118" spans="1:51">
      <c r="A118" s="32" t="s">
        <v>49</v>
      </c>
      <c r="B118" s="33">
        <v>15</v>
      </c>
      <c r="C118" s="32" t="s">
        <v>67</v>
      </c>
      <c r="D118" s="32" t="s">
        <v>14</v>
      </c>
      <c r="E118" s="32" t="s">
        <v>88</v>
      </c>
      <c r="F118" s="32">
        <v>2013</v>
      </c>
      <c r="G118" s="34">
        <v>47473</v>
      </c>
      <c r="H118" s="34">
        <v>19346</v>
      </c>
      <c r="I118" s="34">
        <v>28127</v>
      </c>
      <c r="J118" s="34">
        <v>246038</v>
      </c>
      <c r="K118" s="34">
        <v>737</v>
      </c>
      <c r="L118" s="34">
        <v>137</v>
      </c>
      <c r="M118" s="34">
        <v>223</v>
      </c>
      <c r="N118" s="34">
        <v>36796</v>
      </c>
      <c r="O118" s="34">
        <v>909426.38239890151</v>
      </c>
      <c r="P118" s="34">
        <v>23555</v>
      </c>
      <c r="Q118" s="34">
        <v>48217</v>
      </c>
      <c r="R118" s="34">
        <v>10598</v>
      </c>
      <c r="S118" s="34"/>
      <c r="T118" s="34"/>
      <c r="U118" s="34">
        <v>22526</v>
      </c>
      <c r="V118" s="34">
        <v>9041</v>
      </c>
      <c r="W118" s="34">
        <v>9088</v>
      </c>
      <c r="X118" s="34">
        <v>7283</v>
      </c>
      <c r="Y118" s="34">
        <v>47473</v>
      </c>
      <c r="Z118" s="34">
        <v>623639878</v>
      </c>
      <c r="AA118" s="34">
        <v>2508</v>
      </c>
      <c r="AB118" s="34">
        <v>4063</v>
      </c>
      <c r="AC118" s="34">
        <v>36420</v>
      </c>
      <c r="AD118" s="34">
        <v>4072</v>
      </c>
      <c r="AE118" s="34"/>
      <c r="AF118" s="34"/>
      <c r="AG118" s="34"/>
      <c r="AH118" s="34">
        <v>5395</v>
      </c>
      <c r="AI118" s="34">
        <v>582</v>
      </c>
      <c r="AJ118" s="34"/>
      <c r="AK118" s="34"/>
      <c r="AL118" s="34"/>
      <c r="AM118" s="34"/>
      <c r="AN118" s="34"/>
      <c r="AO118" s="34"/>
      <c r="AP118" s="34"/>
      <c r="AQ118" s="34"/>
      <c r="AR118" s="34"/>
      <c r="AS118" s="34"/>
      <c r="AT118" s="34"/>
      <c r="AU118" s="34"/>
      <c r="AV118" s="34"/>
      <c r="AW118" s="34"/>
      <c r="AX118" s="34"/>
      <c r="AY118" s="34"/>
    </row>
    <row r="119" spans="1:51">
      <c r="A119" s="32" t="s">
        <v>49</v>
      </c>
      <c r="B119" s="33">
        <v>16</v>
      </c>
      <c r="C119" s="32" t="s">
        <v>68</v>
      </c>
      <c r="D119" s="32" t="s">
        <v>30</v>
      </c>
      <c r="E119" s="32" t="s">
        <v>88</v>
      </c>
      <c r="F119" s="32">
        <v>2013</v>
      </c>
      <c r="G119" s="34">
        <v>11807</v>
      </c>
      <c r="H119" s="34">
        <v>4749</v>
      </c>
      <c r="I119" s="34">
        <v>7058</v>
      </c>
      <c r="J119" s="34">
        <v>62745</v>
      </c>
      <c r="K119" s="34">
        <v>226</v>
      </c>
      <c r="L119" s="34">
        <v>41</v>
      </c>
      <c r="M119" s="34">
        <v>63</v>
      </c>
      <c r="N119" s="34">
        <v>8818</v>
      </c>
      <c r="O119" s="34">
        <v>268149.49620750209</v>
      </c>
      <c r="P119" s="34">
        <v>5920</v>
      </c>
      <c r="Q119" s="34">
        <v>12293</v>
      </c>
      <c r="R119" s="34">
        <v>2966</v>
      </c>
      <c r="S119" s="34"/>
      <c r="T119" s="34"/>
      <c r="U119" s="34">
        <v>5668</v>
      </c>
      <c r="V119" s="34">
        <v>2525</v>
      </c>
      <c r="W119" s="34">
        <v>2285</v>
      </c>
      <c r="X119" s="34">
        <v>2083</v>
      </c>
      <c r="Y119" s="34">
        <v>11807</v>
      </c>
      <c r="Z119" s="34">
        <v>171064724</v>
      </c>
      <c r="AA119" s="34">
        <v>490</v>
      </c>
      <c r="AB119" s="34">
        <v>1056</v>
      </c>
      <c r="AC119" s="34">
        <v>6714</v>
      </c>
      <c r="AD119" s="34">
        <v>713</v>
      </c>
      <c r="AE119" s="34"/>
      <c r="AF119" s="34"/>
      <c r="AG119" s="34"/>
      <c r="AH119" s="34">
        <v>0</v>
      </c>
      <c r="AI119" s="34"/>
      <c r="AJ119" s="34"/>
      <c r="AK119" s="34"/>
      <c r="AL119" s="34"/>
      <c r="AM119" s="34"/>
      <c r="AN119" s="34"/>
      <c r="AO119" s="34"/>
      <c r="AP119" s="34"/>
      <c r="AQ119" s="34"/>
      <c r="AR119" s="34"/>
      <c r="AS119" s="34"/>
      <c r="AT119" s="34"/>
      <c r="AU119" s="34"/>
      <c r="AV119" s="34"/>
      <c r="AW119" s="34"/>
      <c r="AX119" s="34"/>
      <c r="AY119" s="34"/>
    </row>
    <row r="120" spans="1:51">
      <c r="A120" s="32" t="s">
        <v>49</v>
      </c>
      <c r="B120" s="33">
        <v>17</v>
      </c>
      <c r="C120" s="32" t="s">
        <v>69</v>
      </c>
      <c r="D120" s="32" t="s">
        <v>15</v>
      </c>
      <c r="E120" s="32" t="s">
        <v>88</v>
      </c>
      <c r="F120" s="32">
        <v>2013</v>
      </c>
      <c r="G120" s="34">
        <v>4693</v>
      </c>
      <c r="H120" s="34">
        <v>1832</v>
      </c>
      <c r="I120" s="34">
        <v>2861</v>
      </c>
      <c r="J120" s="34">
        <v>29652</v>
      </c>
      <c r="K120" s="34">
        <v>59</v>
      </c>
      <c r="L120" s="34">
        <v>20</v>
      </c>
      <c r="M120" s="34">
        <v>12</v>
      </c>
      <c r="N120" s="34">
        <v>4044</v>
      </c>
      <c r="O120" s="34">
        <v>103844.39817265478</v>
      </c>
      <c r="P120" s="34">
        <v>2048</v>
      </c>
      <c r="Q120" s="34">
        <v>5012</v>
      </c>
      <c r="R120" s="34">
        <v>1353</v>
      </c>
      <c r="S120" s="34"/>
      <c r="T120" s="34"/>
      <c r="U120" s="34">
        <v>2231</v>
      </c>
      <c r="V120" s="34">
        <v>1292</v>
      </c>
      <c r="W120" s="34">
        <v>1059</v>
      </c>
      <c r="X120" s="34">
        <v>973</v>
      </c>
      <c r="Y120" s="34">
        <v>4693</v>
      </c>
      <c r="Z120" s="34">
        <v>58251157</v>
      </c>
      <c r="AA120" s="34">
        <v>246</v>
      </c>
      <c r="AB120" s="34">
        <v>563</v>
      </c>
      <c r="AC120" s="34">
        <v>4512</v>
      </c>
      <c r="AD120" s="34">
        <v>648</v>
      </c>
      <c r="AE120" s="34"/>
      <c r="AF120" s="34"/>
      <c r="AG120" s="34"/>
      <c r="AH120" s="34">
        <v>2011</v>
      </c>
      <c r="AI120" s="34"/>
      <c r="AJ120" s="34"/>
      <c r="AK120" s="34"/>
      <c r="AL120" s="34"/>
      <c r="AM120" s="34"/>
      <c r="AN120" s="34"/>
      <c r="AO120" s="34"/>
      <c r="AP120" s="34"/>
      <c r="AQ120" s="34"/>
      <c r="AR120" s="34"/>
      <c r="AS120" s="34"/>
      <c r="AT120" s="34"/>
      <c r="AU120" s="34"/>
      <c r="AV120" s="34"/>
      <c r="AW120" s="34"/>
      <c r="AX120" s="34"/>
      <c r="AY120" s="34"/>
    </row>
    <row r="121" spans="1:51">
      <c r="A121" s="32" t="s">
        <v>49</v>
      </c>
      <c r="B121" s="33">
        <v>18</v>
      </c>
      <c r="C121" s="32" t="s">
        <v>70</v>
      </c>
      <c r="D121" s="32" t="s">
        <v>16</v>
      </c>
      <c r="E121" s="32" t="s">
        <v>88</v>
      </c>
      <c r="F121" s="32">
        <v>2013</v>
      </c>
      <c r="G121" s="34">
        <v>3037</v>
      </c>
      <c r="H121" s="34">
        <v>1236</v>
      </c>
      <c r="I121" s="34">
        <v>1801</v>
      </c>
      <c r="J121" s="34">
        <v>18277</v>
      </c>
      <c r="K121" s="34">
        <v>54</v>
      </c>
      <c r="L121" s="34">
        <v>8</v>
      </c>
      <c r="M121" s="34">
        <v>9</v>
      </c>
      <c r="N121" s="34">
        <v>2723</v>
      </c>
      <c r="O121" s="34">
        <v>65290.161300975204</v>
      </c>
      <c r="P121" s="34">
        <v>1589</v>
      </c>
      <c r="Q121" s="34">
        <v>3043</v>
      </c>
      <c r="R121" s="34">
        <v>684</v>
      </c>
      <c r="S121" s="34"/>
      <c r="T121" s="34"/>
      <c r="U121" s="34">
        <v>1318</v>
      </c>
      <c r="V121" s="34">
        <v>653</v>
      </c>
      <c r="W121" s="34">
        <v>692</v>
      </c>
      <c r="X121" s="34">
        <v>677</v>
      </c>
      <c r="Y121" s="34">
        <v>3037</v>
      </c>
      <c r="Z121" s="34">
        <v>43499898</v>
      </c>
      <c r="AA121" s="34">
        <v>120</v>
      </c>
      <c r="AB121" s="34">
        <v>418</v>
      </c>
      <c r="AC121" s="34">
        <v>1860</v>
      </c>
      <c r="AD121" s="34">
        <v>130</v>
      </c>
      <c r="AE121" s="34"/>
      <c r="AF121" s="34"/>
      <c r="AG121" s="34"/>
      <c r="AH121" s="34">
        <v>92</v>
      </c>
      <c r="AI121" s="34"/>
      <c r="AJ121" s="34"/>
      <c r="AK121" s="34"/>
      <c r="AL121" s="34"/>
      <c r="AM121" s="34"/>
      <c r="AN121" s="34"/>
      <c r="AO121" s="34"/>
      <c r="AP121" s="34"/>
      <c r="AQ121" s="34"/>
      <c r="AR121" s="34"/>
      <c r="AS121" s="34"/>
      <c r="AT121" s="34"/>
      <c r="AU121" s="34"/>
      <c r="AV121" s="34"/>
      <c r="AW121" s="34"/>
      <c r="AX121" s="34"/>
      <c r="AY121" s="34"/>
    </row>
    <row r="122" spans="1:51">
      <c r="A122" s="32" t="s">
        <v>49</v>
      </c>
      <c r="B122" s="33">
        <v>19</v>
      </c>
      <c r="C122" s="32" t="s">
        <v>71</v>
      </c>
      <c r="D122" s="32" t="s">
        <v>17</v>
      </c>
      <c r="E122" s="32" t="s">
        <v>88</v>
      </c>
      <c r="F122" s="32">
        <v>2013</v>
      </c>
      <c r="G122" s="34">
        <v>17191</v>
      </c>
      <c r="H122" s="34">
        <v>7514</v>
      </c>
      <c r="I122" s="34">
        <v>9677</v>
      </c>
      <c r="J122" s="34">
        <v>75177</v>
      </c>
      <c r="K122" s="34">
        <v>250</v>
      </c>
      <c r="L122" s="34">
        <v>52</v>
      </c>
      <c r="M122" s="34">
        <v>80</v>
      </c>
      <c r="N122" s="34">
        <v>14351</v>
      </c>
      <c r="O122" s="34">
        <v>258644.31615898266</v>
      </c>
      <c r="P122" s="34">
        <v>10674</v>
      </c>
      <c r="Q122" s="34">
        <v>16396</v>
      </c>
      <c r="R122" s="34">
        <v>3499</v>
      </c>
      <c r="S122" s="34"/>
      <c r="T122" s="34"/>
      <c r="U122" s="34">
        <v>6451</v>
      </c>
      <c r="V122" s="34">
        <v>3199</v>
      </c>
      <c r="W122" s="34">
        <v>3069</v>
      </c>
      <c r="X122" s="34">
        <v>2967</v>
      </c>
      <c r="Y122" s="34">
        <v>17191</v>
      </c>
      <c r="Z122" s="34">
        <v>181234995</v>
      </c>
      <c r="AA122" s="34">
        <v>891</v>
      </c>
      <c r="AB122" s="34">
        <v>1703</v>
      </c>
      <c r="AC122" s="34">
        <v>44762</v>
      </c>
      <c r="AD122" s="34">
        <v>4064</v>
      </c>
      <c r="AE122" s="34"/>
      <c r="AF122" s="34"/>
      <c r="AG122" s="34"/>
      <c r="AH122" s="34">
        <v>37828</v>
      </c>
      <c r="AI122" s="34">
        <v>617</v>
      </c>
      <c r="AJ122" s="34"/>
      <c r="AK122" s="34"/>
      <c r="AL122" s="34"/>
      <c r="AM122" s="34"/>
      <c r="AN122" s="34"/>
      <c r="AO122" s="34"/>
      <c r="AP122" s="34"/>
      <c r="AQ122" s="34"/>
      <c r="AR122" s="34"/>
      <c r="AS122" s="34"/>
      <c r="AT122" s="34"/>
      <c r="AU122" s="34"/>
      <c r="AV122" s="34"/>
      <c r="AW122" s="34"/>
      <c r="AX122" s="34"/>
      <c r="AY122" s="34"/>
    </row>
    <row r="123" spans="1:51">
      <c r="A123" s="32" t="s">
        <v>50</v>
      </c>
      <c r="B123" s="33">
        <v>20</v>
      </c>
      <c r="C123" s="32" t="s">
        <v>85</v>
      </c>
      <c r="D123" s="32" t="s">
        <v>28</v>
      </c>
      <c r="E123" s="32" t="s">
        <v>88</v>
      </c>
      <c r="F123" s="32">
        <v>2013</v>
      </c>
      <c r="G123" s="34">
        <v>6603</v>
      </c>
      <c r="H123" s="34">
        <v>2396</v>
      </c>
      <c r="I123" s="34">
        <v>4207</v>
      </c>
      <c r="J123" s="34">
        <v>63618</v>
      </c>
      <c r="K123" s="34">
        <v>106</v>
      </c>
      <c r="L123" s="34">
        <v>8</v>
      </c>
      <c r="M123" s="34">
        <v>32</v>
      </c>
      <c r="N123" s="34">
        <v>5119</v>
      </c>
      <c r="O123" s="34">
        <v>244037.21660395796</v>
      </c>
      <c r="P123" s="34">
        <v>3072</v>
      </c>
      <c r="Q123" s="34">
        <v>6750</v>
      </c>
      <c r="R123" s="34">
        <v>1293</v>
      </c>
      <c r="S123" s="34"/>
      <c r="T123" s="34"/>
      <c r="U123" s="34">
        <v>2468</v>
      </c>
      <c r="V123" s="34">
        <v>1194</v>
      </c>
      <c r="W123" s="34">
        <v>1152</v>
      </c>
      <c r="X123" s="34">
        <v>891</v>
      </c>
      <c r="Y123" s="34"/>
      <c r="Z123" s="34"/>
      <c r="AA123" s="34">
        <v>382</v>
      </c>
      <c r="AB123" s="34">
        <v>420</v>
      </c>
      <c r="AC123" s="34">
        <v>2817</v>
      </c>
      <c r="AD123" s="34">
        <v>65</v>
      </c>
      <c r="AE123" s="34"/>
      <c r="AF123" s="34"/>
      <c r="AG123" s="34"/>
      <c r="AH123" s="34">
        <v>462</v>
      </c>
      <c r="AI123" s="34"/>
      <c r="AJ123" s="34"/>
      <c r="AK123" s="34"/>
      <c r="AL123" s="34"/>
      <c r="AM123" s="34"/>
      <c r="AN123" s="34"/>
      <c r="AO123" s="34"/>
      <c r="AP123" s="34"/>
      <c r="AQ123" s="34"/>
      <c r="AR123" s="34"/>
      <c r="AS123" s="34"/>
      <c r="AT123" s="34"/>
      <c r="AU123" s="34"/>
      <c r="AV123" s="34"/>
      <c r="AW123" s="34"/>
      <c r="AX123" s="34"/>
      <c r="AY123" s="34"/>
    </row>
    <row r="124" spans="1:51">
      <c r="A124" s="32" t="s">
        <v>49</v>
      </c>
      <c r="B124" s="33">
        <v>21</v>
      </c>
      <c r="C124" s="32" t="s">
        <v>72</v>
      </c>
      <c r="D124" s="32" t="s">
        <v>18</v>
      </c>
      <c r="E124" s="32" t="s">
        <v>88</v>
      </c>
      <c r="F124" s="32">
        <v>2013</v>
      </c>
      <c r="G124" s="34">
        <v>7277</v>
      </c>
      <c r="H124" s="34">
        <v>2813</v>
      </c>
      <c r="I124" s="34">
        <v>4464</v>
      </c>
      <c r="J124" s="34">
        <v>99239</v>
      </c>
      <c r="K124" s="34">
        <v>141</v>
      </c>
      <c r="L124" s="34">
        <v>37</v>
      </c>
      <c r="M124" s="34">
        <v>56</v>
      </c>
      <c r="N124" s="34">
        <v>6125</v>
      </c>
      <c r="O124" s="34">
        <v>366372.62420574436</v>
      </c>
      <c r="P124" s="34">
        <v>4136</v>
      </c>
      <c r="Q124" s="34">
        <v>7539</v>
      </c>
      <c r="R124" s="34">
        <v>1934</v>
      </c>
      <c r="S124" s="34"/>
      <c r="T124" s="34"/>
      <c r="U124" s="34">
        <v>3093</v>
      </c>
      <c r="V124" s="34">
        <v>1760</v>
      </c>
      <c r="W124" s="34">
        <v>1621</v>
      </c>
      <c r="X124" s="34">
        <v>1546</v>
      </c>
      <c r="Y124" s="34">
        <v>7277</v>
      </c>
      <c r="Z124" s="34">
        <v>124199174</v>
      </c>
      <c r="AA124" s="34">
        <v>392</v>
      </c>
      <c r="AB124" s="34">
        <v>875</v>
      </c>
      <c r="AC124" s="34">
        <v>7054</v>
      </c>
      <c r="AD124" s="34">
        <v>567</v>
      </c>
      <c r="AE124" s="34"/>
      <c r="AF124" s="34"/>
      <c r="AG124" s="34"/>
      <c r="AH124" s="34">
        <v>5358</v>
      </c>
      <c r="AI124" s="34"/>
      <c r="AJ124" s="34"/>
      <c r="AK124" s="34"/>
      <c r="AL124" s="34"/>
      <c r="AM124" s="34"/>
      <c r="AN124" s="34"/>
      <c r="AO124" s="34"/>
      <c r="AP124" s="34"/>
      <c r="AQ124" s="34"/>
      <c r="AR124" s="34"/>
      <c r="AS124" s="34"/>
      <c r="AT124" s="34"/>
      <c r="AU124" s="34"/>
      <c r="AV124" s="34"/>
      <c r="AW124" s="34"/>
      <c r="AX124" s="34"/>
      <c r="AY124" s="34"/>
    </row>
    <row r="125" spans="1:51">
      <c r="A125" s="32" t="s">
        <v>49</v>
      </c>
      <c r="B125" s="33">
        <v>22</v>
      </c>
      <c r="C125" s="32" t="s">
        <v>73</v>
      </c>
      <c r="D125" s="32" t="s">
        <v>29</v>
      </c>
      <c r="E125" s="32" t="s">
        <v>88</v>
      </c>
      <c r="F125" s="32">
        <v>2013</v>
      </c>
      <c r="G125" s="34">
        <v>3224</v>
      </c>
      <c r="H125" s="34">
        <v>1347</v>
      </c>
      <c r="I125" s="34">
        <v>1877</v>
      </c>
      <c r="J125" s="34">
        <v>28481</v>
      </c>
      <c r="K125" s="34">
        <v>51</v>
      </c>
      <c r="L125" s="34">
        <v>12</v>
      </c>
      <c r="M125" s="34">
        <v>28</v>
      </c>
      <c r="N125" s="34">
        <v>2742</v>
      </c>
      <c r="O125" s="34">
        <v>113507.25317716529</v>
      </c>
      <c r="P125" s="34">
        <v>2178</v>
      </c>
      <c r="Q125" s="34">
        <v>3014</v>
      </c>
      <c r="R125" s="34">
        <v>748</v>
      </c>
      <c r="S125" s="34"/>
      <c r="T125" s="34"/>
      <c r="U125" s="34">
        <v>1048</v>
      </c>
      <c r="V125" s="34">
        <v>703</v>
      </c>
      <c r="W125" s="34">
        <v>606</v>
      </c>
      <c r="X125" s="34">
        <v>528</v>
      </c>
      <c r="Y125" s="34">
        <v>3224</v>
      </c>
      <c r="Z125" s="34">
        <v>38235173</v>
      </c>
      <c r="AA125" s="34">
        <v>243</v>
      </c>
      <c r="AB125" s="34">
        <v>354</v>
      </c>
      <c r="AC125" s="34">
        <v>4856</v>
      </c>
      <c r="AD125" s="34">
        <v>219</v>
      </c>
      <c r="AE125" s="34"/>
      <c r="AF125" s="34"/>
      <c r="AG125" s="34"/>
      <c r="AH125" s="34">
        <v>4</v>
      </c>
      <c r="AI125" s="34"/>
      <c r="AJ125" s="34"/>
      <c r="AK125" s="34"/>
      <c r="AL125" s="34"/>
      <c r="AM125" s="34"/>
      <c r="AN125" s="34"/>
      <c r="AO125" s="34"/>
      <c r="AP125" s="34"/>
      <c r="AQ125" s="34"/>
      <c r="AR125" s="34"/>
      <c r="AS125" s="34"/>
      <c r="AT125" s="34"/>
      <c r="AU125" s="34"/>
      <c r="AV125" s="34"/>
      <c r="AW125" s="34"/>
      <c r="AX125" s="34"/>
      <c r="AY125" s="34"/>
    </row>
    <row r="126" spans="1:51">
      <c r="A126" s="32" t="s">
        <v>49</v>
      </c>
      <c r="B126" s="33">
        <v>23</v>
      </c>
      <c r="C126" s="32" t="s">
        <v>74</v>
      </c>
      <c r="D126" s="32" t="s">
        <v>19</v>
      </c>
      <c r="E126" s="32" t="s">
        <v>88</v>
      </c>
      <c r="F126" s="32">
        <v>2013</v>
      </c>
      <c r="G126" s="34">
        <v>8835</v>
      </c>
      <c r="H126" s="34">
        <v>3422</v>
      </c>
      <c r="I126" s="34">
        <v>5413</v>
      </c>
      <c r="J126" s="34">
        <v>20556</v>
      </c>
      <c r="K126" s="34">
        <v>104</v>
      </c>
      <c r="L126" s="34">
        <v>18</v>
      </c>
      <c r="M126" s="34">
        <v>29</v>
      </c>
      <c r="N126" s="34">
        <v>6863</v>
      </c>
      <c r="O126" s="34">
        <v>80603.226862702431</v>
      </c>
      <c r="P126" s="34">
        <v>3967</v>
      </c>
      <c r="Q126" s="34">
        <v>8685</v>
      </c>
      <c r="R126" s="34">
        <v>2104</v>
      </c>
      <c r="S126" s="34"/>
      <c r="T126" s="34"/>
      <c r="U126" s="34">
        <v>3302</v>
      </c>
      <c r="V126" s="34">
        <v>1858</v>
      </c>
      <c r="W126" s="34">
        <v>1943</v>
      </c>
      <c r="X126" s="34">
        <v>1886</v>
      </c>
      <c r="Y126" s="34">
        <v>8835</v>
      </c>
      <c r="Z126" s="34">
        <v>83082049</v>
      </c>
      <c r="AA126" s="34">
        <v>409</v>
      </c>
      <c r="AB126" s="34">
        <v>854</v>
      </c>
      <c r="AC126" s="34">
        <v>8547</v>
      </c>
      <c r="AD126" s="34">
        <v>650</v>
      </c>
      <c r="AE126" s="34"/>
      <c r="AF126" s="34"/>
      <c r="AG126" s="34"/>
      <c r="AH126" s="34">
        <v>1653</v>
      </c>
      <c r="AI126" s="34"/>
      <c r="AJ126" s="34"/>
      <c r="AK126" s="34"/>
      <c r="AL126" s="34"/>
      <c r="AM126" s="34"/>
      <c r="AN126" s="34"/>
      <c r="AO126" s="34"/>
      <c r="AP126" s="34"/>
      <c r="AQ126" s="34"/>
      <c r="AR126" s="34"/>
      <c r="AS126" s="34"/>
      <c r="AT126" s="34"/>
      <c r="AU126" s="34"/>
      <c r="AV126" s="34"/>
      <c r="AW126" s="34"/>
      <c r="AX126" s="34"/>
      <c r="AY126" s="34"/>
    </row>
    <row r="127" spans="1:51">
      <c r="A127" s="32" t="s">
        <v>49</v>
      </c>
      <c r="B127" s="33">
        <v>24</v>
      </c>
      <c r="C127" s="32" t="s">
        <v>75</v>
      </c>
      <c r="D127" s="32" t="s">
        <v>20</v>
      </c>
      <c r="E127" s="32" t="s">
        <v>88</v>
      </c>
      <c r="F127" s="32">
        <v>2013</v>
      </c>
      <c r="G127" s="34">
        <v>5373</v>
      </c>
      <c r="H127" s="34">
        <v>2113</v>
      </c>
      <c r="I127" s="34">
        <v>3260</v>
      </c>
      <c r="J127" s="34">
        <v>44201</v>
      </c>
      <c r="K127" s="34">
        <v>84</v>
      </c>
      <c r="L127" s="34">
        <v>24</v>
      </c>
      <c r="M127" s="34">
        <v>28</v>
      </c>
      <c r="N127" s="34">
        <v>4365</v>
      </c>
      <c r="O127" s="34">
        <v>162591.23938538344</v>
      </c>
      <c r="P127" s="34">
        <v>2513</v>
      </c>
      <c r="Q127" s="34">
        <v>5478</v>
      </c>
      <c r="R127" s="34">
        <v>1182</v>
      </c>
      <c r="S127" s="34"/>
      <c r="T127" s="34"/>
      <c r="U127" s="34">
        <v>2270</v>
      </c>
      <c r="V127" s="34">
        <v>1099</v>
      </c>
      <c r="W127" s="34">
        <v>951</v>
      </c>
      <c r="X127" s="34">
        <v>886</v>
      </c>
      <c r="Y127" s="34">
        <v>5373</v>
      </c>
      <c r="Z127" s="34">
        <v>72691037</v>
      </c>
      <c r="AA127" s="34">
        <v>327</v>
      </c>
      <c r="AB127" s="34">
        <v>398</v>
      </c>
      <c r="AC127" s="34">
        <v>8025</v>
      </c>
      <c r="AD127" s="34">
        <v>711</v>
      </c>
      <c r="AE127" s="34"/>
      <c r="AF127" s="34"/>
      <c r="AG127" s="34"/>
      <c r="AH127" s="34">
        <v>903</v>
      </c>
      <c r="AI127" s="34"/>
      <c r="AJ127" s="34"/>
      <c r="AK127" s="34"/>
      <c r="AL127" s="34"/>
      <c r="AM127" s="34"/>
      <c r="AN127" s="34"/>
      <c r="AO127" s="34"/>
      <c r="AP127" s="34"/>
      <c r="AQ127" s="34"/>
      <c r="AR127" s="34"/>
      <c r="AS127" s="34"/>
      <c r="AT127" s="34"/>
      <c r="AU127" s="34"/>
      <c r="AV127" s="34"/>
      <c r="AW127" s="34"/>
      <c r="AX127" s="34"/>
      <c r="AY127" s="34"/>
    </row>
    <row r="128" spans="1:51">
      <c r="A128" s="32" t="s">
        <v>49</v>
      </c>
      <c r="B128" s="33">
        <v>25</v>
      </c>
      <c r="C128" s="32" t="s">
        <v>76</v>
      </c>
      <c r="D128" s="32" t="s">
        <v>21</v>
      </c>
      <c r="E128" s="32" t="s">
        <v>88</v>
      </c>
      <c r="F128" s="32">
        <v>2013</v>
      </c>
      <c r="G128" s="34">
        <v>9306</v>
      </c>
      <c r="H128" s="34">
        <v>3734</v>
      </c>
      <c r="I128" s="34">
        <v>5572</v>
      </c>
      <c r="J128" s="34">
        <v>47345</v>
      </c>
      <c r="K128" s="34">
        <v>180</v>
      </c>
      <c r="L128" s="34">
        <v>48</v>
      </c>
      <c r="M128" s="34">
        <v>49</v>
      </c>
      <c r="N128" s="34">
        <v>7757</v>
      </c>
      <c r="O128" s="34">
        <v>166876.95846203336</v>
      </c>
      <c r="P128" s="34">
        <v>4530</v>
      </c>
      <c r="Q128" s="34">
        <v>9564</v>
      </c>
      <c r="R128" s="34">
        <v>2408</v>
      </c>
      <c r="S128" s="34"/>
      <c r="T128" s="34"/>
      <c r="U128" s="34">
        <v>3555</v>
      </c>
      <c r="V128" s="34">
        <v>2310</v>
      </c>
      <c r="W128" s="34">
        <v>2090</v>
      </c>
      <c r="X128" s="34">
        <v>2080</v>
      </c>
      <c r="Y128" s="34">
        <v>9306</v>
      </c>
      <c r="Z128" s="34">
        <v>184315590</v>
      </c>
      <c r="AA128" s="34">
        <v>612</v>
      </c>
      <c r="AB128" s="34">
        <v>986</v>
      </c>
      <c r="AC128" s="34">
        <v>7312</v>
      </c>
      <c r="AD128" s="34">
        <v>388</v>
      </c>
      <c r="AE128" s="34"/>
      <c r="AF128" s="34"/>
      <c r="AG128" s="34"/>
      <c r="AH128" s="34">
        <v>0</v>
      </c>
      <c r="AI128" s="34"/>
      <c r="AJ128" s="34"/>
      <c r="AK128" s="34"/>
      <c r="AL128" s="34"/>
      <c r="AM128" s="34"/>
      <c r="AN128" s="34"/>
      <c r="AO128" s="34"/>
      <c r="AP128" s="34"/>
      <c r="AQ128" s="34"/>
      <c r="AR128" s="34"/>
      <c r="AS128" s="34"/>
      <c r="AT128" s="34"/>
      <c r="AU128" s="34"/>
      <c r="AV128" s="34"/>
      <c r="AW128" s="34"/>
      <c r="AX128" s="34"/>
      <c r="AY128" s="34"/>
    </row>
    <row r="129" spans="1:51">
      <c r="A129" s="32" t="s">
        <v>49</v>
      </c>
      <c r="B129" s="33">
        <v>26</v>
      </c>
      <c r="C129" s="32" t="s">
        <v>77</v>
      </c>
      <c r="D129" s="32" t="s">
        <v>22</v>
      </c>
      <c r="E129" s="32" t="s">
        <v>88</v>
      </c>
      <c r="F129" s="32">
        <v>2013</v>
      </c>
      <c r="G129" s="34">
        <v>12900</v>
      </c>
      <c r="H129" s="34">
        <v>5501</v>
      </c>
      <c r="I129" s="34">
        <v>7399</v>
      </c>
      <c r="J129" s="34">
        <v>46866</v>
      </c>
      <c r="K129" s="34">
        <v>241</v>
      </c>
      <c r="L129" s="34">
        <v>35</v>
      </c>
      <c r="M129" s="34">
        <v>45</v>
      </c>
      <c r="N129" s="34">
        <v>11004</v>
      </c>
      <c r="O129" s="34">
        <v>157243.00090581051</v>
      </c>
      <c r="P129" s="34">
        <v>5613</v>
      </c>
      <c r="Q129" s="34">
        <v>12561</v>
      </c>
      <c r="R129" s="34">
        <v>2760</v>
      </c>
      <c r="S129" s="34"/>
      <c r="T129" s="34"/>
      <c r="U129" s="34">
        <v>5662</v>
      </c>
      <c r="V129" s="34">
        <v>2545</v>
      </c>
      <c r="W129" s="34">
        <v>2121</v>
      </c>
      <c r="X129" s="34">
        <v>1905</v>
      </c>
      <c r="Y129" s="34">
        <v>12900</v>
      </c>
      <c r="Z129" s="34">
        <v>186557052</v>
      </c>
      <c r="AA129" s="34">
        <v>521</v>
      </c>
      <c r="AB129" s="34">
        <v>993</v>
      </c>
      <c r="AC129" s="34">
        <v>11874</v>
      </c>
      <c r="AD129" s="34">
        <v>1364</v>
      </c>
      <c r="AE129" s="34"/>
      <c r="AF129" s="34"/>
      <c r="AG129" s="34"/>
      <c r="AH129" s="34">
        <v>0</v>
      </c>
      <c r="AI129" s="34"/>
      <c r="AJ129" s="34"/>
      <c r="AK129" s="34"/>
      <c r="AL129" s="34"/>
      <c r="AM129" s="34"/>
      <c r="AN129" s="34"/>
      <c r="AO129" s="34"/>
      <c r="AP129" s="34"/>
      <c r="AQ129" s="34"/>
      <c r="AR129" s="34"/>
      <c r="AS129" s="34"/>
      <c r="AT129" s="34"/>
      <c r="AU129" s="34"/>
      <c r="AV129" s="34"/>
      <c r="AW129" s="34"/>
      <c r="AX129" s="34"/>
      <c r="AY129" s="34"/>
    </row>
    <row r="130" spans="1:51">
      <c r="A130" s="32" t="s">
        <v>49</v>
      </c>
      <c r="B130" s="33">
        <v>27</v>
      </c>
      <c r="C130" s="32" t="s">
        <v>78</v>
      </c>
      <c r="D130" s="32" t="s">
        <v>23</v>
      </c>
      <c r="E130" s="32" t="s">
        <v>88</v>
      </c>
      <c r="F130" s="32">
        <v>2013</v>
      </c>
      <c r="G130" s="34">
        <v>5452</v>
      </c>
      <c r="H130" s="34">
        <v>2164</v>
      </c>
      <c r="I130" s="34">
        <v>3288</v>
      </c>
      <c r="J130" s="34">
        <v>36668</v>
      </c>
      <c r="K130" s="34">
        <v>79</v>
      </c>
      <c r="L130" s="34">
        <v>21</v>
      </c>
      <c r="M130" s="34">
        <v>31</v>
      </c>
      <c r="N130" s="34">
        <v>4558</v>
      </c>
      <c r="O130" s="34">
        <v>134705.84663611482</v>
      </c>
      <c r="P130" s="34">
        <v>2164</v>
      </c>
      <c r="Q130" s="34">
        <v>5305</v>
      </c>
      <c r="R130" s="34">
        <v>1288</v>
      </c>
      <c r="S130" s="34"/>
      <c r="T130" s="34"/>
      <c r="U130" s="34">
        <v>2193</v>
      </c>
      <c r="V130" s="34">
        <v>1138</v>
      </c>
      <c r="W130" s="34">
        <v>1080</v>
      </c>
      <c r="X130" s="34">
        <v>1073</v>
      </c>
      <c r="Y130" s="34">
        <v>5452</v>
      </c>
      <c r="Z130" s="34">
        <v>92390906</v>
      </c>
      <c r="AA130" s="34">
        <v>296</v>
      </c>
      <c r="AB130" s="34">
        <v>414</v>
      </c>
      <c r="AC130" s="34">
        <v>3145</v>
      </c>
      <c r="AD130" s="34">
        <v>22</v>
      </c>
      <c r="AE130" s="34"/>
      <c r="AF130" s="34"/>
      <c r="AG130" s="34"/>
      <c r="AH130" s="34">
        <v>503</v>
      </c>
      <c r="AI130" s="34"/>
      <c r="AJ130" s="34"/>
      <c r="AK130" s="34"/>
      <c r="AL130" s="34"/>
      <c r="AM130" s="34"/>
      <c r="AN130" s="34"/>
      <c r="AO130" s="34"/>
      <c r="AP130" s="34"/>
      <c r="AQ130" s="34"/>
      <c r="AR130" s="34"/>
      <c r="AS130" s="34"/>
      <c r="AT130" s="34"/>
      <c r="AU130" s="34"/>
      <c r="AV130" s="34"/>
      <c r="AW130" s="34"/>
      <c r="AX130" s="34"/>
      <c r="AY130" s="34"/>
    </row>
    <row r="131" spans="1:51">
      <c r="A131" s="32" t="s">
        <v>49</v>
      </c>
      <c r="B131" s="33">
        <v>28</v>
      </c>
      <c r="C131" s="32" t="s">
        <v>79</v>
      </c>
      <c r="D131" s="32" t="s">
        <v>24</v>
      </c>
      <c r="E131" s="32" t="s">
        <v>88</v>
      </c>
      <c r="F131" s="32">
        <v>2013</v>
      </c>
      <c r="G131" s="34">
        <v>9144</v>
      </c>
      <c r="H131" s="34">
        <v>3644</v>
      </c>
      <c r="I131" s="34">
        <v>5500</v>
      </c>
      <c r="J131" s="34">
        <v>45534</v>
      </c>
      <c r="K131" s="34">
        <v>143</v>
      </c>
      <c r="L131" s="34">
        <v>24</v>
      </c>
      <c r="M131" s="34">
        <v>53</v>
      </c>
      <c r="N131" s="34">
        <v>7784</v>
      </c>
      <c r="O131" s="34">
        <v>186145.71750308797</v>
      </c>
      <c r="P131" s="34">
        <v>4396</v>
      </c>
      <c r="Q131" s="34">
        <v>8923</v>
      </c>
      <c r="R131" s="34">
        <v>1841</v>
      </c>
      <c r="S131" s="34"/>
      <c r="T131" s="34"/>
      <c r="U131" s="34">
        <v>3133</v>
      </c>
      <c r="V131" s="34">
        <v>1672</v>
      </c>
      <c r="W131" s="34">
        <v>1817</v>
      </c>
      <c r="X131" s="34">
        <v>1754</v>
      </c>
      <c r="Y131" s="34">
        <v>9144</v>
      </c>
      <c r="Z131" s="34">
        <v>143856893</v>
      </c>
      <c r="AA131" s="34">
        <v>412</v>
      </c>
      <c r="AB131" s="34">
        <v>939</v>
      </c>
      <c r="AC131" s="34">
        <v>16612</v>
      </c>
      <c r="AD131" s="34">
        <v>466</v>
      </c>
      <c r="AE131" s="34"/>
      <c r="AF131" s="34"/>
      <c r="AG131" s="34"/>
      <c r="AH131" s="34">
        <v>43</v>
      </c>
      <c r="AI131" s="34">
        <v>34</v>
      </c>
      <c r="AJ131" s="34"/>
      <c r="AK131" s="34"/>
      <c r="AL131" s="34"/>
      <c r="AM131" s="34"/>
      <c r="AN131" s="34"/>
      <c r="AO131" s="34"/>
      <c r="AP131" s="34"/>
      <c r="AQ131" s="34"/>
      <c r="AR131" s="34"/>
      <c r="AS131" s="34"/>
      <c r="AT131" s="34"/>
      <c r="AU131" s="34"/>
      <c r="AV131" s="34"/>
      <c r="AW131" s="34"/>
      <c r="AX131" s="34"/>
      <c r="AY131" s="34"/>
    </row>
    <row r="132" spans="1:51">
      <c r="A132" s="32" t="s">
        <v>49</v>
      </c>
      <c r="B132" s="33">
        <v>29</v>
      </c>
      <c r="C132" s="32" t="s">
        <v>80</v>
      </c>
      <c r="D132" s="32" t="s">
        <v>25</v>
      </c>
      <c r="E132" s="32" t="s">
        <v>88</v>
      </c>
      <c r="F132" s="32">
        <v>2013</v>
      </c>
      <c r="G132" s="34">
        <v>3098</v>
      </c>
      <c r="H132" s="34">
        <v>1269</v>
      </c>
      <c r="I132" s="34">
        <v>1829</v>
      </c>
      <c r="J132" s="34">
        <v>20885</v>
      </c>
      <c r="K132" s="34">
        <v>43</v>
      </c>
      <c r="L132" s="34">
        <v>11</v>
      </c>
      <c r="M132" s="34">
        <v>17</v>
      </c>
      <c r="N132" s="34">
        <v>2525</v>
      </c>
      <c r="O132" s="34">
        <v>73145.535441940141</v>
      </c>
      <c r="P132" s="34">
        <v>1516</v>
      </c>
      <c r="Q132" s="34">
        <v>3109</v>
      </c>
      <c r="R132" s="34">
        <v>682</v>
      </c>
      <c r="S132" s="34"/>
      <c r="T132" s="34"/>
      <c r="U132" s="34">
        <v>1104</v>
      </c>
      <c r="V132" s="34">
        <v>628</v>
      </c>
      <c r="W132" s="34">
        <v>571</v>
      </c>
      <c r="X132" s="34">
        <v>549</v>
      </c>
      <c r="Y132" s="34">
        <v>3098</v>
      </c>
      <c r="Z132" s="34">
        <v>35029811</v>
      </c>
      <c r="AA132" s="34">
        <v>207</v>
      </c>
      <c r="AB132" s="34">
        <v>358</v>
      </c>
      <c r="AC132" s="34">
        <v>1385</v>
      </c>
      <c r="AD132" s="34">
        <v>56</v>
      </c>
      <c r="AE132" s="34"/>
      <c r="AF132" s="34"/>
      <c r="AG132" s="34"/>
      <c r="AH132" s="34">
        <v>0</v>
      </c>
      <c r="AI132" s="34"/>
      <c r="AJ132" s="34"/>
      <c r="AK132" s="34"/>
      <c r="AL132" s="34"/>
      <c r="AM132" s="34"/>
      <c r="AN132" s="34"/>
      <c r="AO132" s="34"/>
      <c r="AP132" s="34"/>
      <c r="AQ132" s="34"/>
      <c r="AR132" s="34"/>
      <c r="AS132" s="34"/>
      <c r="AT132" s="34"/>
      <c r="AU132" s="34"/>
      <c r="AV132" s="34"/>
      <c r="AW132" s="34"/>
      <c r="AX132" s="34"/>
      <c r="AY132" s="34"/>
    </row>
    <row r="133" spans="1:51">
      <c r="A133" s="32" t="s">
        <v>49</v>
      </c>
      <c r="B133" s="33">
        <v>30</v>
      </c>
      <c r="C133" s="32" t="s">
        <v>81</v>
      </c>
      <c r="D133" s="32" t="s">
        <v>53</v>
      </c>
      <c r="E133" s="32" t="s">
        <v>88</v>
      </c>
      <c r="F133" s="32">
        <v>2013</v>
      </c>
      <c r="G133" s="34">
        <v>9096</v>
      </c>
      <c r="H133" s="34">
        <v>3472</v>
      </c>
      <c r="I133" s="34">
        <v>5624</v>
      </c>
      <c r="J133" s="34">
        <v>123917</v>
      </c>
      <c r="K133" s="34">
        <v>175</v>
      </c>
      <c r="L133" s="34">
        <v>36</v>
      </c>
      <c r="M133" s="34">
        <v>74</v>
      </c>
      <c r="N133" s="34">
        <v>7871</v>
      </c>
      <c r="O133" s="34">
        <v>456163.09147284296</v>
      </c>
      <c r="P133" s="34">
        <v>5246</v>
      </c>
      <c r="Q133" s="34">
        <v>9255</v>
      </c>
      <c r="R133" s="34">
        <v>2316</v>
      </c>
      <c r="S133" s="34"/>
      <c r="T133" s="34"/>
      <c r="U133" s="34">
        <v>3522</v>
      </c>
      <c r="V133" s="34">
        <v>2105</v>
      </c>
      <c r="W133" s="34">
        <v>2128</v>
      </c>
      <c r="X133" s="34">
        <v>2026</v>
      </c>
      <c r="Y133" s="34">
        <v>9096</v>
      </c>
      <c r="Z133" s="34">
        <v>188756223</v>
      </c>
      <c r="AA133" s="34">
        <v>580</v>
      </c>
      <c r="AB133" s="34">
        <v>1302</v>
      </c>
      <c r="AC133" s="34">
        <v>10384</v>
      </c>
      <c r="AD133" s="34">
        <v>245</v>
      </c>
      <c r="AE133" s="34"/>
      <c r="AF133" s="34"/>
      <c r="AG133" s="34"/>
      <c r="AH133" s="34">
        <v>679</v>
      </c>
      <c r="AI133" s="34">
        <v>1185</v>
      </c>
      <c r="AJ133" s="34"/>
      <c r="AK133" s="34"/>
      <c r="AL133" s="34"/>
      <c r="AM133" s="34"/>
      <c r="AN133" s="34"/>
      <c r="AO133" s="34"/>
      <c r="AP133" s="34"/>
      <c r="AQ133" s="34"/>
      <c r="AR133" s="34"/>
      <c r="AS133" s="34"/>
      <c r="AT133" s="34"/>
      <c r="AU133" s="34"/>
      <c r="AV133" s="34"/>
      <c r="AW133" s="34"/>
      <c r="AX133" s="34"/>
      <c r="AY133" s="34"/>
    </row>
    <row r="134" spans="1:51">
      <c r="A134" s="32" t="s">
        <v>49</v>
      </c>
      <c r="B134" s="33">
        <v>31</v>
      </c>
      <c r="C134" s="32" t="s">
        <v>82</v>
      </c>
      <c r="D134" s="32" t="s">
        <v>26</v>
      </c>
      <c r="E134" s="32" t="s">
        <v>88</v>
      </c>
      <c r="F134" s="32">
        <v>2013</v>
      </c>
      <c r="G134" s="34">
        <v>4673</v>
      </c>
      <c r="H134" s="34">
        <v>1841</v>
      </c>
      <c r="I134" s="34">
        <v>2832</v>
      </c>
      <c r="J134" s="34">
        <v>29568</v>
      </c>
      <c r="K134" s="34">
        <v>68</v>
      </c>
      <c r="L134" s="34">
        <v>14</v>
      </c>
      <c r="M134" s="34">
        <v>22</v>
      </c>
      <c r="N134" s="34">
        <v>3554</v>
      </c>
      <c r="O134" s="34">
        <v>113002.20832453723</v>
      </c>
      <c r="P134" s="34">
        <v>2565</v>
      </c>
      <c r="Q134" s="34">
        <v>4409</v>
      </c>
      <c r="R134" s="34">
        <v>1138</v>
      </c>
      <c r="S134" s="34"/>
      <c r="T134" s="34"/>
      <c r="U134" s="34">
        <v>1972</v>
      </c>
      <c r="V134" s="34">
        <v>998</v>
      </c>
      <c r="W134" s="34">
        <v>774</v>
      </c>
      <c r="X134" s="34">
        <v>729</v>
      </c>
      <c r="Y134" s="34">
        <v>4673</v>
      </c>
      <c r="Z134" s="34">
        <v>83899942</v>
      </c>
      <c r="AA134" s="34">
        <v>252</v>
      </c>
      <c r="AB134" s="34">
        <v>390</v>
      </c>
      <c r="AC134" s="34">
        <v>7791</v>
      </c>
      <c r="AD134" s="34">
        <v>396</v>
      </c>
      <c r="AE134" s="34"/>
      <c r="AF134" s="34"/>
      <c r="AG134" s="34"/>
      <c r="AH134" s="34">
        <v>1487</v>
      </c>
      <c r="AI134" s="34"/>
      <c r="AJ134" s="34"/>
      <c r="AK134" s="34"/>
      <c r="AL134" s="34"/>
      <c r="AM134" s="34"/>
      <c r="AN134" s="34"/>
      <c r="AO134" s="34"/>
      <c r="AP134" s="34"/>
      <c r="AQ134" s="34"/>
      <c r="AR134" s="34"/>
      <c r="AS134" s="34"/>
      <c r="AT134" s="34"/>
      <c r="AU134" s="34"/>
      <c r="AV134" s="34"/>
      <c r="AW134" s="34"/>
      <c r="AX134" s="34"/>
      <c r="AY134" s="34"/>
    </row>
    <row r="135" spans="1:51">
      <c r="A135" s="32" t="s">
        <v>49</v>
      </c>
      <c r="B135" s="33">
        <v>32</v>
      </c>
      <c r="C135" s="32" t="s">
        <v>83</v>
      </c>
      <c r="D135" s="32" t="s">
        <v>27</v>
      </c>
      <c r="E135" s="32" t="s">
        <v>88</v>
      </c>
      <c r="F135" s="32">
        <v>2013</v>
      </c>
      <c r="G135" s="34">
        <v>1759</v>
      </c>
      <c r="H135" s="34">
        <v>801</v>
      </c>
      <c r="I135" s="34">
        <v>958</v>
      </c>
      <c r="J135" s="34">
        <v>26220</v>
      </c>
      <c r="K135" s="34">
        <v>47</v>
      </c>
      <c r="L135" s="34">
        <v>15</v>
      </c>
      <c r="M135" s="34">
        <v>6</v>
      </c>
      <c r="N135" s="34">
        <v>1389</v>
      </c>
      <c r="O135" s="34">
        <v>91649.600964842932</v>
      </c>
      <c r="P135" s="34">
        <v>928</v>
      </c>
      <c r="Q135" s="34">
        <v>1722</v>
      </c>
      <c r="R135" s="34">
        <v>334</v>
      </c>
      <c r="S135" s="34"/>
      <c r="T135" s="34"/>
      <c r="U135" s="34">
        <v>800</v>
      </c>
      <c r="V135" s="34">
        <v>287</v>
      </c>
      <c r="W135" s="34">
        <v>288</v>
      </c>
      <c r="X135" s="34">
        <v>270</v>
      </c>
      <c r="Y135" s="34">
        <v>1759</v>
      </c>
      <c r="Z135" s="34">
        <v>30600067</v>
      </c>
      <c r="AA135" s="34">
        <v>88</v>
      </c>
      <c r="AB135" s="34">
        <v>163</v>
      </c>
      <c r="AC135" s="34">
        <v>2125</v>
      </c>
      <c r="AD135" s="34">
        <v>360</v>
      </c>
      <c r="AE135" s="34"/>
      <c r="AF135" s="34"/>
      <c r="AG135" s="34"/>
      <c r="AH135" s="34">
        <v>57</v>
      </c>
      <c r="AI135" s="34"/>
      <c r="AJ135" s="34"/>
      <c r="AK135" s="34"/>
      <c r="AL135" s="34"/>
      <c r="AM135" s="34"/>
      <c r="AN135" s="34"/>
      <c r="AO135" s="34"/>
      <c r="AP135" s="34"/>
      <c r="AQ135" s="34"/>
      <c r="AR135" s="34"/>
      <c r="AS135" s="34"/>
      <c r="AT135" s="34"/>
      <c r="AU135" s="34"/>
      <c r="AV135" s="34"/>
      <c r="AW135" s="34"/>
      <c r="AX135" s="34"/>
      <c r="AY135" s="34"/>
    </row>
    <row r="136" spans="1:51">
      <c r="A136" s="32" t="s">
        <v>124</v>
      </c>
      <c r="B136" s="33">
        <v>33</v>
      </c>
      <c r="C136" s="32" t="s">
        <v>125</v>
      </c>
      <c r="D136" s="32" t="s">
        <v>40</v>
      </c>
      <c r="E136" s="32" t="s">
        <v>88</v>
      </c>
      <c r="F136" s="32">
        <v>2013</v>
      </c>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row>
    <row r="137" spans="1:51">
      <c r="A137" s="32" t="s">
        <v>50</v>
      </c>
      <c r="B137" s="33">
        <v>0</v>
      </c>
      <c r="C137" s="32" t="s">
        <v>123</v>
      </c>
      <c r="D137" s="32" t="s">
        <v>39</v>
      </c>
      <c r="E137" s="32" t="s">
        <v>88</v>
      </c>
      <c r="F137" s="32">
        <v>2013</v>
      </c>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v>267870.54704999999</v>
      </c>
      <c r="AK137" s="34">
        <v>1477702</v>
      </c>
      <c r="AL137" s="34">
        <v>1477702</v>
      </c>
      <c r="AM137" s="34">
        <v>1497810.8</v>
      </c>
      <c r="AN137" s="34">
        <v>1379713.2</v>
      </c>
      <c r="AO137" s="34">
        <v>1379713.2</v>
      </c>
      <c r="AP137" s="34">
        <v>1414326.6</v>
      </c>
      <c r="AQ137" s="34">
        <v>1433622.3</v>
      </c>
      <c r="AR137" s="34">
        <v>63375.4</v>
      </c>
      <c r="AS137" s="34">
        <v>64188.5</v>
      </c>
      <c r="AT137" s="34">
        <v>97988.800000000003</v>
      </c>
      <c r="AU137" s="34">
        <v>1477702</v>
      </c>
      <c r="AV137" s="34">
        <v>113139.511</v>
      </c>
      <c r="AW137" s="34">
        <v>118097.60000000001</v>
      </c>
      <c r="AX137" s="34">
        <v>1477702</v>
      </c>
      <c r="AY137" s="34">
        <v>1497810.8</v>
      </c>
    </row>
    <row r="138" spans="1:51">
      <c r="A138" s="35" t="s">
        <v>49</v>
      </c>
      <c r="B138" s="36">
        <v>1</v>
      </c>
      <c r="C138" s="35" t="s">
        <v>54</v>
      </c>
      <c r="D138" s="35" t="s">
        <v>1</v>
      </c>
      <c r="E138" s="35" t="s">
        <v>89</v>
      </c>
      <c r="F138" s="35">
        <v>2014</v>
      </c>
      <c r="G138" s="29">
        <v>4702</v>
      </c>
      <c r="H138" s="29">
        <v>1860</v>
      </c>
      <c r="I138" s="29">
        <v>2842</v>
      </c>
      <c r="J138" s="29">
        <v>22695</v>
      </c>
      <c r="K138" s="29">
        <v>84</v>
      </c>
      <c r="L138" s="29">
        <v>14</v>
      </c>
      <c r="M138" s="29">
        <v>19</v>
      </c>
      <c r="N138" s="29">
        <v>3971</v>
      </c>
      <c r="O138" s="29">
        <v>75527.697364606225</v>
      </c>
      <c r="P138" s="29">
        <v>3529</v>
      </c>
      <c r="Q138" s="29">
        <v>4724</v>
      </c>
      <c r="R138" s="29">
        <v>1355</v>
      </c>
      <c r="S138" s="29"/>
      <c r="T138" s="29"/>
      <c r="U138" s="29">
        <v>2029</v>
      </c>
      <c r="V138" s="29">
        <v>1195</v>
      </c>
      <c r="W138" s="29">
        <v>1076</v>
      </c>
      <c r="X138" s="29">
        <v>959</v>
      </c>
      <c r="Y138" s="29">
        <v>4702</v>
      </c>
      <c r="Z138" s="29">
        <v>54318738</v>
      </c>
      <c r="AA138" s="29">
        <v>298</v>
      </c>
      <c r="AB138" s="29">
        <v>451</v>
      </c>
      <c r="AC138" s="29">
        <v>3707</v>
      </c>
      <c r="AD138" s="29">
        <v>200</v>
      </c>
      <c r="AE138" s="29"/>
      <c r="AF138" s="29"/>
      <c r="AG138" s="29"/>
      <c r="AH138" s="29">
        <v>513</v>
      </c>
      <c r="AI138" s="29"/>
      <c r="AJ138" s="29"/>
      <c r="AK138" s="29"/>
      <c r="AL138" s="29"/>
      <c r="AM138" s="29"/>
      <c r="AN138" s="29"/>
      <c r="AO138" s="29"/>
      <c r="AP138" s="29"/>
      <c r="AQ138" s="29"/>
      <c r="AR138" s="29"/>
      <c r="AS138" s="29"/>
      <c r="AT138" s="29"/>
      <c r="AU138" s="29"/>
      <c r="AV138" s="29"/>
      <c r="AW138" s="29"/>
      <c r="AX138" s="29"/>
      <c r="AY138" s="29"/>
    </row>
    <row r="139" spans="1:51">
      <c r="A139" s="35" t="s">
        <v>49</v>
      </c>
      <c r="B139" s="36">
        <v>2</v>
      </c>
      <c r="C139" s="35" t="s">
        <v>55</v>
      </c>
      <c r="D139" s="35" t="s">
        <v>3</v>
      </c>
      <c r="E139" s="35" t="s">
        <v>89</v>
      </c>
      <c r="F139" s="35">
        <v>2014</v>
      </c>
      <c r="G139" s="29">
        <v>8064</v>
      </c>
      <c r="H139" s="29">
        <v>3277</v>
      </c>
      <c r="I139" s="29">
        <v>4787</v>
      </c>
      <c r="J139" s="29">
        <v>52307</v>
      </c>
      <c r="K139" s="29">
        <v>118</v>
      </c>
      <c r="L139" s="29">
        <v>16</v>
      </c>
      <c r="M139" s="29">
        <v>25</v>
      </c>
      <c r="N139" s="29">
        <v>6550</v>
      </c>
      <c r="O139" s="29">
        <v>192061.00847132175</v>
      </c>
      <c r="P139" s="29">
        <v>3831</v>
      </c>
      <c r="Q139" s="29">
        <v>7923</v>
      </c>
      <c r="R139" s="29">
        <v>1696</v>
      </c>
      <c r="S139" s="29"/>
      <c r="T139" s="29"/>
      <c r="U139" s="29">
        <v>3537</v>
      </c>
      <c r="V139" s="29">
        <v>1508</v>
      </c>
      <c r="W139" s="29">
        <v>1654</v>
      </c>
      <c r="X139" s="29">
        <v>1469</v>
      </c>
      <c r="Y139" s="29">
        <v>8064</v>
      </c>
      <c r="Z139" s="29">
        <v>116478902</v>
      </c>
      <c r="AA139" s="29">
        <v>395</v>
      </c>
      <c r="AB139" s="29">
        <v>627</v>
      </c>
      <c r="AC139" s="29">
        <v>5889</v>
      </c>
      <c r="AD139" s="29">
        <v>239</v>
      </c>
      <c r="AE139" s="29"/>
      <c r="AF139" s="29"/>
      <c r="AG139" s="29"/>
      <c r="AH139" s="29">
        <v>21</v>
      </c>
      <c r="AI139" s="29">
        <v>998</v>
      </c>
      <c r="AJ139" s="29"/>
      <c r="AK139" s="29"/>
      <c r="AL139" s="29"/>
      <c r="AM139" s="29"/>
      <c r="AN139" s="29"/>
      <c r="AO139" s="29"/>
      <c r="AP139" s="29"/>
      <c r="AQ139" s="29"/>
      <c r="AR139" s="29"/>
      <c r="AS139" s="29"/>
      <c r="AT139" s="29"/>
      <c r="AU139" s="29"/>
      <c r="AV139" s="29"/>
      <c r="AW139" s="29"/>
      <c r="AX139" s="29"/>
      <c r="AY139" s="29"/>
    </row>
    <row r="140" spans="1:51">
      <c r="A140" s="35" t="s">
        <v>49</v>
      </c>
      <c r="B140" s="36">
        <v>3</v>
      </c>
      <c r="C140" s="35" t="s">
        <v>56</v>
      </c>
      <c r="D140" s="35" t="s">
        <v>4</v>
      </c>
      <c r="E140" s="35" t="s">
        <v>89</v>
      </c>
      <c r="F140" s="35">
        <v>2014</v>
      </c>
      <c r="G140" s="29">
        <v>1962</v>
      </c>
      <c r="H140" s="29">
        <v>709</v>
      </c>
      <c r="I140" s="29">
        <v>1253</v>
      </c>
      <c r="J140" s="29">
        <v>10688</v>
      </c>
      <c r="K140" s="29">
        <v>17</v>
      </c>
      <c r="L140" s="29">
        <v>6</v>
      </c>
      <c r="M140" s="29">
        <v>2</v>
      </c>
      <c r="N140" s="29">
        <v>1514</v>
      </c>
      <c r="O140" s="29">
        <v>39449.577969580379</v>
      </c>
      <c r="P140" s="29">
        <v>1155</v>
      </c>
      <c r="Q140" s="29">
        <v>2058</v>
      </c>
      <c r="R140" s="29">
        <v>399</v>
      </c>
      <c r="S140" s="29"/>
      <c r="T140" s="29"/>
      <c r="U140" s="29">
        <v>585</v>
      </c>
      <c r="V140" s="29">
        <v>331</v>
      </c>
      <c r="W140" s="29">
        <v>366</v>
      </c>
      <c r="X140" s="29">
        <v>363</v>
      </c>
      <c r="Y140" s="29">
        <v>1962</v>
      </c>
      <c r="Z140" s="29">
        <v>29174547</v>
      </c>
      <c r="AA140" s="29">
        <v>95</v>
      </c>
      <c r="AB140" s="29">
        <v>217</v>
      </c>
      <c r="AC140" s="29">
        <v>1164</v>
      </c>
      <c r="AD140" s="29">
        <v>267</v>
      </c>
      <c r="AE140" s="29"/>
      <c r="AF140" s="29"/>
      <c r="AG140" s="29"/>
      <c r="AH140" s="29">
        <v>0</v>
      </c>
      <c r="AI140" s="29"/>
      <c r="AJ140" s="29"/>
      <c r="AK140" s="29"/>
      <c r="AL140" s="29"/>
      <c r="AM140" s="29"/>
      <c r="AN140" s="29"/>
      <c r="AO140" s="29"/>
      <c r="AP140" s="29"/>
      <c r="AQ140" s="29"/>
      <c r="AR140" s="29"/>
      <c r="AS140" s="29"/>
      <c r="AT140" s="29"/>
      <c r="AU140" s="29"/>
      <c r="AV140" s="29"/>
      <c r="AW140" s="29"/>
      <c r="AX140" s="29"/>
      <c r="AY140" s="29"/>
    </row>
    <row r="141" spans="1:51">
      <c r="A141" s="35" t="s">
        <v>49</v>
      </c>
      <c r="B141" s="36">
        <v>4</v>
      </c>
      <c r="C141" s="35" t="s">
        <v>57</v>
      </c>
      <c r="D141" s="35" t="s">
        <v>5</v>
      </c>
      <c r="E141" s="35" t="s">
        <v>89</v>
      </c>
      <c r="F141" s="35">
        <v>2014</v>
      </c>
      <c r="G141" s="29">
        <v>1918</v>
      </c>
      <c r="H141" s="29">
        <v>744</v>
      </c>
      <c r="I141" s="29">
        <v>1174</v>
      </c>
      <c r="J141" s="29">
        <v>12251</v>
      </c>
      <c r="K141" s="29">
        <v>38</v>
      </c>
      <c r="L141" s="29">
        <v>6</v>
      </c>
      <c r="M141" s="29">
        <v>17</v>
      </c>
      <c r="N141" s="29">
        <v>1342</v>
      </c>
      <c r="O141" s="29">
        <v>49198.152137247227</v>
      </c>
      <c r="P141" s="29">
        <v>914</v>
      </c>
      <c r="Q141" s="29">
        <v>1930</v>
      </c>
      <c r="R141" s="29">
        <v>362</v>
      </c>
      <c r="S141" s="29"/>
      <c r="T141" s="29"/>
      <c r="U141" s="29">
        <v>769</v>
      </c>
      <c r="V141" s="29">
        <v>321</v>
      </c>
      <c r="W141" s="29">
        <v>347</v>
      </c>
      <c r="X141" s="29">
        <v>338</v>
      </c>
      <c r="Y141" s="29">
        <v>1918</v>
      </c>
      <c r="Z141" s="29">
        <v>34927941</v>
      </c>
      <c r="AA141" s="29">
        <v>107</v>
      </c>
      <c r="AB141" s="29">
        <v>311</v>
      </c>
      <c r="AC141" s="29">
        <v>1325</v>
      </c>
      <c r="AD141" s="29">
        <v>170</v>
      </c>
      <c r="AE141" s="29"/>
      <c r="AF141" s="29"/>
      <c r="AG141" s="29"/>
      <c r="AH141" s="29">
        <v>337</v>
      </c>
      <c r="AI141" s="29"/>
      <c r="AJ141" s="29"/>
      <c r="AK141" s="29"/>
      <c r="AL141" s="29"/>
      <c r="AM141" s="29"/>
      <c r="AN141" s="29"/>
      <c r="AO141" s="29"/>
      <c r="AP141" s="29"/>
      <c r="AQ141" s="29"/>
      <c r="AR141" s="29"/>
      <c r="AS141" s="29"/>
      <c r="AT141" s="29"/>
      <c r="AU141" s="29"/>
      <c r="AV141" s="29"/>
      <c r="AW141" s="29"/>
      <c r="AX141" s="29"/>
      <c r="AY141" s="29"/>
    </row>
    <row r="142" spans="1:51">
      <c r="A142" s="35" t="s">
        <v>49</v>
      </c>
      <c r="B142" s="36">
        <v>7</v>
      </c>
      <c r="C142" s="35" t="s">
        <v>58</v>
      </c>
      <c r="D142" s="35" t="s">
        <v>6</v>
      </c>
      <c r="E142" s="35" t="s">
        <v>89</v>
      </c>
      <c r="F142" s="35">
        <v>2014</v>
      </c>
      <c r="G142" s="29">
        <v>7561</v>
      </c>
      <c r="H142" s="29">
        <v>2807</v>
      </c>
      <c r="I142" s="29">
        <v>4754</v>
      </c>
      <c r="J142" s="29">
        <v>88123</v>
      </c>
      <c r="K142" s="29">
        <v>148</v>
      </c>
      <c r="L142" s="29">
        <v>19</v>
      </c>
      <c r="M142" s="29">
        <v>42</v>
      </c>
      <c r="N142" s="29">
        <v>5709</v>
      </c>
      <c r="O142" s="29">
        <v>340566.79062819039</v>
      </c>
      <c r="P142" s="29">
        <v>3745</v>
      </c>
      <c r="Q142" s="29">
        <v>7916</v>
      </c>
      <c r="R142" s="29">
        <v>2004</v>
      </c>
      <c r="S142" s="29"/>
      <c r="T142" s="29"/>
      <c r="U142" s="29">
        <v>3283</v>
      </c>
      <c r="V142" s="29">
        <v>1826</v>
      </c>
      <c r="W142" s="29">
        <v>1710</v>
      </c>
      <c r="X142" s="29">
        <v>1545</v>
      </c>
      <c r="Y142" s="29">
        <v>7561</v>
      </c>
      <c r="Z142" s="29">
        <v>135011976</v>
      </c>
      <c r="AA142" s="29">
        <v>450</v>
      </c>
      <c r="AB142" s="29">
        <v>679</v>
      </c>
      <c r="AC142" s="29">
        <v>4291</v>
      </c>
      <c r="AD142" s="29">
        <v>50</v>
      </c>
      <c r="AE142" s="29"/>
      <c r="AF142" s="29"/>
      <c r="AG142" s="29"/>
      <c r="AH142" s="29">
        <v>376</v>
      </c>
      <c r="AI142" s="29"/>
      <c r="AJ142" s="29"/>
      <c r="AK142" s="29"/>
      <c r="AL142" s="29"/>
      <c r="AM142" s="29"/>
      <c r="AN142" s="29"/>
      <c r="AO142" s="29"/>
      <c r="AP142" s="29"/>
      <c r="AQ142" s="29"/>
      <c r="AR142" s="29"/>
      <c r="AS142" s="29"/>
      <c r="AT142" s="29"/>
      <c r="AU142" s="29"/>
      <c r="AV142" s="29"/>
      <c r="AW142" s="29"/>
      <c r="AX142" s="29"/>
      <c r="AY142" s="29"/>
    </row>
    <row r="143" spans="1:51">
      <c r="A143" s="35" t="s">
        <v>49</v>
      </c>
      <c r="B143" s="36">
        <v>8</v>
      </c>
      <c r="C143" s="35" t="s">
        <v>59</v>
      </c>
      <c r="D143" s="35" t="s">
        <v>7</v>
      </c>
      <c r="E143" s="35" t="s">
        <v>89</v>
      </c>
      <c r="F143" s="35">
        <v>2014</v>
      </c>
      <c r="G143" s="29">
        <v>9728</v>
      </c>
      <c r="H143" s="29">
        <v>3922</v>
      </c>
      <c r="I143" s="29">
        <v>5806</v>
      </c>
      <c r="J143" s="29">
        <v>53751</v>
      </c>
      <c r="K143" s="29">
        <v>154</v>
      </c>
      <c r="L143" s="29">
        <v>25</v>
      </c>
      <c r="M143" s="29">
        <v>45</v>
      </c>
      <c r="N143" s="29">
        <v>8012</v>
      </c>
      <c r="O143" s="29">
        <v>201857.30158643681</v>
      </c>
      <c r="P143" s="29">
        <v>4560</v>
      </c>
      <c r="Q143" s="29">
        <v>9072</v>
      </c>
      <c r="R143" s="29">
        <v>1944</v>
      </c>
      <c r="S143" s="29"/>
      <c r="T143" s="29"/>
      <c r="U143" s="29">
        <v>3922</v>
      </c>
      <c r="V143" s="29">
        <v>1732</v>
      </c>
      <c r="W143" s="29">
        <v>1658</v>
      </c>
      <c r="X143" s="29">
        <v>1588</v>
      </c>
      <c r="Y143" s="29">
        <v>9728</v>
      </c>
      <c r="Z143" s="29">
        <v>129239077</v>
      </c>
      <c r="AA143" s="29">
        <v>581</v>
      </c>
      <c r="AB143" s="29">
        <v>917</v>
      </c>
      <c r="AC143" s="29">
        <v>5796</v>
      </c>
      <c r="AD143" s="29">
        <v>2102</v>
      </c>
      <c r="AE143" s="29"/>
      <c r="AF143" s="29"/>
      <c r="AG143" s="29"/>
      <c r="AH143" s="29">
        <v>1258</v>
      </c>
      <c r="AI143" s="29">
        <v>1059</v>
      </c>
      <c r="AJ143" s="29"/>
      <c r="AK143" s="29"/>
      <c r="AL143" s="29"/>
      <c r="AM143" s="29"/>
      <c r="AN143" s="29"/>
      <c r="AO143" s="29"/>
      <c r="AP143" s="29"/>
      <c r="AQ143" s="29"/>
      <c r="AR143" s="29"/>
      <c r="AS143" s="29"/>
      <c r="AT143" s="29"/>
      <c r="AU143" s="29"/>
      <c r="AV143" s="29"/>
      <c r="AW143" s="29"/>
      <c r="AX143" s="29"/>
      <c r="AY143" s="29"/>
    </row>
    <row r="144" spans="1:51">
      <c r="A144" s="35" t="s">
        <v>50</v>
      </c>
      <c r="B144" s="36">
        <v>9</v>
      </c>
      <c r="C144" s="35" t="s">
        <v>84</v>
      </c>
      <c r="D144" s="35" t="s">
        <v>32</v>
      </c>
      <c r="E144" s="35" t="s">
        <v>89</v>
      </c>
      <c r="F144" s="35">
        <v>2014</v>
      </c>
      <c r="G144" s="29">
        <v>43160</v>
      </c>
      <c r="H144" s="29">
        <v>18370</v>
      </c>
      <c r="I144" s="29">
        <v>24790</v>
      </c>
      <c r="J144" s="29">
        <v>127866</v>
      </c>
      <c r="K144" s="29">
        <v>545</v>
      </c>
      <c r="L144" s="29">
        <v>93</v>
      </c>
      <c r="M144" s="29">
        <v>166</v>
      </c>
      <c r="N144" s="29">
        <v>32687</v>
      </c>
      <c r="O144" s="29">
        <v>410538.77783324482</v>
      </c>
      <c r="P144" s="29">
        <v>23150</v>
      </c>
      <c r="Q144" s="29">
        <v>42808</v>
      </c>
      <c r="R144" s="29">
        <v>9160</v>
      </c>
      <c r="S144" s="29"/>
      <c r="T144" s="29"/>
      <c r="U144" s="29">
        <v>18821</v>
      </c>
      <c r="V144" s="29">
        <v>7626</v>
      </c>
      <c r="W144" s="29">
        <v>7987</v>
      </c>
      <c r="X144" s="29">
        <v>5123</v>
      </c>
      <c r="Y144" s="29"/>
      <c r="Z144" s="29"/>
      <c r="AA144" s="29">
        <v>2164</v>
      </c>
      <c r="AB144" s="29">
        <v>3225</v>
      </c>
      <c r="AC144" s="29">
        <v>15276</v>
      </c>
      <c r="AD144" s="29">
        <v>224</v>
      </c>
      <c r="AE144" s="29"/>
      <c r="AF144" s="29"/>
      <c r="AG144" s="29"/>
      <c r="AH144" s="29">
        <v>2099</v>
      </c>
      <c r="AI144" s="29"/>
      <c r="AJ144" s="29"/>
      <c r="AK144" s="29"/>
      <c r="AL144" s="29"/>
      <c r="AM144" s="29"/>
      <c r="AN144" s="29"/>
      <c r="AO144" s="29"/>
      <c r="AP144" s="29"/>
      <c r="AQ144" s="29"/>
      <c r="AR144" s="29"/>
      <c r="AS144" s="29"/>
      <c r="AT144" s="29"/>
      <c r="AU144" s="29"/>
      <c r="AV144" s="29"/>
      <c r="AW144" s="29"/>
      <c r="AX144" s="29"/>
      <c r="AY144" s="29"/>
    </row>
    <row r="145" spans="1:51">
      <c r="A145" s="35" t="s">
        <v>49</v>
      </c>
      <c r="B145" s="36">
        <v>5</v>
      </c>
      <c r="C145" s="35" t="s">
        <v>60</v>
      </c>
      <c r="D145" s="35" t="s">
        <v>31</v>
      </c>
      <c r="E145" s="35" t="s">
        <v>89</v>
      </c>
      <c r="F145" s="35">
        <v>2014</v>
      </c>
      <c r="G145" s="29">
        <v>7918</v>
      </c>
      <c r="H145" s="29">
        <v>3366</v>
      </c>
      <c r="I145" s="29">
        <v>4552</v>
      </c>
      <c r="J145" s="29">
        <v>44561</v>
      </c>
      <c r="K145" s="29">
        <v>126</v>
      </c>
      <c r="L145" s="29">
        <v>24</v>
      </c>
      <c r="M145" s="29">
        <v>43</v>
      </c>
      <c r="N145" s="29">
        <v>7125</v>
      </c>
      <c r="O145" s="29">
        <v>163891.60959595948</v>
      </c>
      <c r="P145" s="29">
        <v>4255</v>
      </c>
      <c r="Q145" s="29">
        <v>7891</v>
      </c>
      <c r="R145" s="29">
        <v>1992</v>
      </c>
      <c r="S145" s="29"/>
      <c r="T145" s="29"/>
      <c r="U145" s="29">
        <v>3388</v>
      </c>
      <c r="V145" s="29">
        <v>1840</v>
      </c>
      <c r="W145" s="29">
        <v>1767</v>
      </c>
      <c r="X145" s="29">
        <v>1743</v>
      </c>
      <c r="Y145" s="29">
        <v>7918</v>
      </c>
      <c r="Z145" s="29">
        <v>126959657</v>
      </c>
      <c r="AA145" s="29">
        <v>415</v>
      </c>
      <c r="AB145" s="29">
        <v>846</v>
      </c>
      <c r="AC145" s="29">
        <v>5638</v>
      </c>
      <c r="AD145" s="29">
        <v>757</v>
      </c>
      <c r="AE145" s="29"/>
      <c r="AF145" s="29"/>
      <c r="AG145" s="29"/>
      <c r="AH145" s="29">
        <v>2</v>
      </c>
      <c r="AI145" s="29"/>
      <c r="AJ145" s="29"/>
      <c r="AK145" s="29"/>
      <c r="AL145" s="29"/>
      <c r="AM145" s="29"/>
      <c r="AN145" s="29"/>
      <c r="AO145" s="29"/>
      <c r="AP145" s="29"/>
      <c r="AQ145" s="29"/>
      <c r="AR145" s="29"/>
      <c r="AS145" s="29"/>
      <c r="AT145" s="29"/>
      <c r="AU145" s="29"/>
      <c r="AV145" s="29"/>
      <c r="AW145" s="29"/>
      <c r="AX145" s="29"/>
      <c r="AY145" s="29"/>
    </row>
    <row r="146" spans="1:51">
      <c r="A146" s="35" t="s">
        <v>49</v>
      </c>
      <c r="B146" s="36">
        <v>6</v>
      </c>
      <c r="C146" s="35" t="s">
        <v>61</v>
      </c>
      <c r="D146" s="35" t="s">
        <v>8</v>
      </c>
      <c r="E146" s="35" t="s">
        <v>89</v>
      </c>
      <c r="F146" s="35">
        <v>2014</v>
      </c>
      <c r="G146" s="29">
        <v>1906</v>
      </c>
      <c r="H146" s="29">
        <v>823</v>
      </c>
      <c r="I146" s="29">
        <v>1083</v>
      </c>
      <c r="J146" s="29">
        <v>8273</v>
      </c>
      <c r="K146" s="29">
        <v>41</v>
      </c>
      <c r="L146" s="29">
        <v>5</v>
      </c>
      <c r="M146" s="29">
        <v>10</v>
      </c>
      <c r="N146" s="29">
        <v>1181</v>
      </c>
      <c r="O146" s="29">
        <v>37641.209130106377</v>
      </c>
      <c r="P146" s="29">
        <v>942</v>
      </c>
      <c r="Q146" s="29">
        <v>1883</v>
      </c>
      <c r="R146" s="29">
        <v>398</v>
      </c>
      <c r="S146" s="29"/>
      <c r="T146" s="29"/>
      <c r="U146" s="29">
        <v>806</v>
      </c>
      <c r="V146" s="29">
        <v>323</v>
      </c>
      <c r="W146" s="29">
        <v>311</v>
      </c>
      <c r="X146" s="29">
        <v>290</v>
      </c>
      <c r="Y146" s="29">
        <v>1906</v>
      </c>
      <c r="Z146" s="29">
        <v>35267340</v>
      </c>
      <c r="AA146" s="29">
        <v>121</v>
      </c>
      <c r="AB146" s="29">
        <v>313</v>
      </c>
      <c r="AC146" s="29">
        <v>1997</v>
      </c>
      <c r="AD146" s="29">
        <v>9</v>
      </c>
      <c r="AE146" s="29"/>
      <c r="AF146" s="29"/>
      <c r="AG146" s="29"/>
      <c r="AH146" s="29">
        <v>51</v>
      </c>
      <c r="AI146" s="29"/>
      <c r="AJ146" s="29"/>
      <c r="AK146" s="29"/>
      <c r="AL146" s="29"/>
      <c r="AM146" s="29"/>
      <c r="AN146" s="29"/>
      <c r="AO146" s="29"/>
      <c r="AP146" s="29"/>
      <c r="AQ146" s="29"/>
      <c r="AR146" s="29"/>
      <c r="AS146" s="29"/>
      <c r="AT146" s="29"/>
      <c r="AU146" s="29"/>
      <c r="AV146" s="29"/>
      <c r="AW146" s="29"/>
      <c r="AX146" s="29"/>
      <c r="AY146" s="29"/>
    </row>
    <row r="147" spans="1:51">
      <c r="A147" s="35" t="s">
        <v>49</v>
      </c>
      <c r="B147" s="36">
        <v>10</v>
      </c>
      <c r="C147" s="35" t="s">
        <v>62</v>
      </c>
      <c r="D147" s="35" t="s">
        <v>9</v>
      </c>
      <c r="E147" s="35" t="s">
        <v>89</v>
      </c>
      <c r="F147" s="35">
        <v>2014</v>
      </c>
      <c r="G147" s="29">
        <v>2483</v>
      </c>
      <c r="H147" s="29">
        <v>1025</v>
      </c>
      <c r="I147" s="29">
        <v>1458</v>
      </c>
      <c r="J147" s="29">
        <v>28693</v>
      </c>
      <c r="K147" s="29">
        <v>45</v>
      </c>
      <c r="L147" s="29">
        <v>13</v>
      </c>
      <c r="M147" s="29">
        <v>11</v>
      </c>
      <c r="N147" s="29">
        <v>2065</v>
      </c>
      <c r="O147" s="29">
        <v>104210.00031715367</v>
      </c>
      <c r="P147" s="29">
        <v>1156</v>
      </c>
      <c r="Q147" s="29">
        <v>2413</v>
      </c>
      <c r="R147" s="29">
        <v>463</v>
      </c>
      <c r="S147" s="29"/>
      <c r="T147" s="29"/>
      <c r="U147" s="29">
        <v>1047</v>
      </c>
      <c r="V147" s="29">
        <v>423</v>
      </c>
      <c r="W147" s="29">
        <v>388</v>
      </c>
      <c r="X147" s="29">
        <v>286</v>
      </c>
      <c r="Y147" s="29">
        <v>2483</v>
      </c>
      <c r="Z147" s="29">
        <v>34487021</v>
      </c>
      <c r="AA147" s="29">
        <v>164</v>
      </c>
      <c r="AB147" s="29">
        <v>248</v>
      </c>
      <c r="AC147" s="29">
        <v>2625</v>
      </c>
      <c r="AD147" s="29">
        <v>72</v>
      </c>
      <c r="AE147" s="29"/>
      <c r="AF147" s="29"/>
      <c r="AG147" s="29"/>
      <c r="AH147" s="29">
        <v>606</v>
      </c>
      <c r="AI147" s="29"/>
      <c r="AJ147" s="29"/>
      <c r="AK147" s="29"/>
      <c r="AL147" s="29"/>
      <c r="AM147" s="29"/>
      <c r="AN147" s="29"/>
      <c r="AO147" s="29"/>
      <c r="AP147" s="29"/>
      <c r="AQ147" s="29"/>
      <c r="AR147" s="29"/>
      <c r="AS147" s="29"/>
      <c r="AT147" s="29"/>
      <c r="AU147" s="29"/>
      <c r="AV147" s="29"/>
      <c r="AW147" s="29"/>
      <c r="AX147" s="29"/>
      <c r="AY147" s="29"/>
    </row>
    <row r="148" spans="1:51">
      <c r="A148" s="35" t="s">
        <v>49</v>
      </c>
      <c r="B148" s="36">
        <v>11</v>
      </c>
      <c r="C148" s="35" t="s">
        <v>63</v>
      </c>
      <c r="D148" s="35" t="s">
        <v>10</v>
      </c>
      <c r="E148" s="35" t="s">
        <v>89</v>
      </c>
      <c r="F148" s="35">
        <v>2014</v>
      </c>
      <c r="G148" s="29">
        <v>17733</v>
      </c>
      <c r="H148" s="29">
        <v>6355</v>
      </c>
      <c r="I148" s="29">
        <v>11378</v>
      </c>
      <c r="J148" s="29">
        <v>94122</v>
      </c>
      <c r="K148" s="29">
        <v>238</v>
      </c>
      <c r="L148" s="29">
        <v>56</v>
      </c>
      <c r="M148" s="29">
        <v>70</v>
      </c>
      <c r="N148" s="29">
        <v>14983</v>
      </c>
      <c r="O148" s="29">
        <v>349671.87180136447</v>
      </c>
      <c r="P148" s="29">
        <v>10284</v>
      </c>
      <c r="Q148" s="29">
        <v>18280</v>
      </c>
      <c r="R148" s="29">
        <v>4173</v>
      </c>
      <c r="S148" s="29"/>
      <c r="T148" s="29"/>
      <c r="U148" s="29">
        <v>6290</v>
      </c>
      <c r="V148" s="29">
        <v>3874</v>
      </c>
      <c r="W148" s="29">
        <v>3989</v>
      </c>
      <c r="X148" s="29">
        <v>3898</v>
      </c>
      <c r="Y148" s="29">
        <v>17733</v>
      </c>
      <c r="Z148" s="29">
        <v>206713084</v>
      </c>
      <c r="AA148" s="29">
        <v>928</v>
      </c>
      <c r="AB148" s="29">
        <v>1959</v>
      </c>
      <c r="AC148" s="29">
        <v>22282</v>
      </c>
      <c r="AD148" s="29">
        <v>843</v>
      </c>
      <c r="AE148" s="29"/>
      <c r="AF148" s="29"/>
      <c r="AG148" s="29"/>
      <c r="AH148" s="29">
        <v>1763</v>
      </c>
      <c r="AI148" s="29">
        <v>10952</v>
      </c>
      <c r="AJ148" s="29"/>
      <c r="AK148" s="29"/>
      <c r="AL148" s="29"/>
      <c r="AM148" s="29"/>
      <c r="AN148" s="29"/>
      <c r="AO148" s="29"/>
      <c r="AP148" s="29"/>
      <c r="AQ148" s="29"/>
      <c r="AR148" s="29"/>
      <c r="AS148" s="29"/>
      <c r="AT148" s="29"/>
      <c r="AU148" s="29"/>
      <c r="AV148" s="29"/>
      <c r="AW148" s="29"/>
      <c r="AX148" s="29"/>
      <c r="AY148" s="29"/>
    </row>
    <row r="149" spans="1:51">
      <c r="A149" s="35" t="s">
        <v>49</v>
      </c>
      <c r="B149" s="36">
        <v>12</v>
      </c>
      <c r="C149" s="35" t="s">
        <v>64</v>
      </c>
      <c r="D149" s="35" t="s">
        <v>11</v>
      </c>
      <c r="E149" s="35" t="s">
        <v>89</v>
      </c>
      <c r="F149" s="35">
        <v>2014</v>
      </c>
      <c r="G149" s="29">
        <v>6743</v>
      </c>
      <c r="H149" s="29">
        <v>2541</v>
      </c>
      <c r="I149" s="29">
        <v>4202</v>
      </c>
      <c r="J149" s="29">
        <v>57668</v>
      </c>
      <c r="K149" s="29">
        <v>123</v>
      </c>
      <c r="L149" s="29">
        <v>24</v>
      </c>
      <c r="M149" s="29">
        <v>42</v>
      </c>
      <c r="N149" s="29">
        <v>5422</v>
      </c>
      <c r="O149" s="29">
        <v>228424.40717370744</v>
      </c>
      <c r="P149" s="29">
        <v>3492</v>
      </c>
      <c r="Q149" s="29">
        <v>6996</v>
      </c>
      <c r="R149" s="29">
        <v>1579</v>
      </c>
      <c r="S149" s="29"/>
      <c r="T149" s="29"/>
      <c r="U149" s="29">
        <v>2982</v>
      </c>
      <c r="V149" s="29">
        <v>1482</v>
      </c>
      <c r="W149" s="29">
        <v>1531</v>
      </c>
      <c r="X149" s="29">
        <v>1151</v>
      </c>
      <c r="Y149" s="29">
        <v>6743</v>
      </c>
      <c r="Z149" s="29">
        <v>112866728</v>
      </c>
      <c r="AA149" s="29">
        <v>318</v>
      </c>
      <c r="AB149" s="29">
        <v>554</v>
      </c>
      <c r="AC149" s="29">
        <v>2933</v>
      </c>
      <c r="AD149" s="29">
        <v>461</v>
      </c>
      <c r="AE149" s="29"/>
      <c r="AF149" s="29"/>
      <c r="AG149" s="29"/>
      <c r="AH149" s="29">
        <v>1800</v>
      </c>
      <c r="AI149" s="29"/>
      <c r="AJ149" s="29"/>
      <c r="AK149" s="29"/>
      <c r="AL149" s="29"/>
      <c r="AM149" s="29"/>
      <c r="AN149" s="29"/>
      <c r="AO149" s="29"/>
      <c r="AP149" s="29"/>
      <c r="AQ149" s="29"/>
      <c r="AR149" s="29"/>
      <c r="AS149" s="29"/>
      <c r="AT149" s="29"/>
      <c r="AU149" s="29"/>
      <c r="AV149" s="29"/>
      <c r="AW149" s="29"/>
      <c r="AX149" s="29"/>
      <c r="AY149" s="29"/>
    </row>
    <row r="150" spans="1:51">
      <c r="A150" s="35" t="s">
        <v>49</v>
      </c>
      <c r="B150" s="36">
        <v>13</v>
      </c>
      <c r="C150" s="35" t="s">
        <v>65</v>
      </c>
      <c r="D150" s="35" t="s">
        <v>12</v>
      </c>
      <c r="E150" s="35" t="s">
        <v>89</v>
      </c>
      <c r="F150" s="35">
        <v>2014</v>
      </c>
      <c r="G150" s="29">
        <v>3498</v>
      </c>
      <c r="H150" s="29">
        <v>1417</v>
      </c>
      <c r="I150" s="29">
        <v>2081</v>
      </c>
      <c r="J150" s="29">
        <v>49083</v>
      </c>
      <c r="K150" s="29">
        <v>65</v>
      </c>
      <c r="L150" s="29">
        <v>23</v>
      </c>
      <c r="M150" s="29">
        <v>28</v>
      </c>
      <c r="N150" s="29">
        <v>2705</v>
      </c>
      <c r="O150" s="29">
        <v>160118.07123933081</v>
      </c>
      <c r="P150" s="29">
        <v>1777</v>
      </c>
      <c r="Q150" s="29">
        <v>3924</v>
      </c>
      <c r="R150" s="29">
        <v>886</v>
      </c>
      <c r="S150" s="29"/>
      <c r="T150" s="29"/>
      <c r="U150" s="29">
        <v>1656</v>
      </c>
      <c r="V150" s="29">
        <v>754</v>
      </c>
      <c r="W150" s="29">
        <v>696</v>
      </c>
      <c r="X150" s="29">
        <v>696</v>
      </c>
      <c r="Y150" s="29">
        <v>3498</v>
      </c>
      <c r="Z150" s="29">
        <v>54215457</v>
      </c>
      <c r="AA150" s="29">
        <v>210</v>
      </c>
      <c r="AB150" s="29">
        <v>415</v>
      </c>
      <c r="AC150" s="29">
        <v>2003</v>
      </c>
      <c r="AD150" s="29">
        <v>64</v>
      </c>
      <c r="AE150" s="29"/>
      <c r="AF150" s="29"/>
      <c r="AG150" s="29"/>
      <c r="AH150" s="29">
        <v>147</v>
      </c>
      <c r="AI150" s="29"/>
      <c r="AJ150" s="29"/>
      <c r="AK150" s="29"/>
      <c r="AL150" s="29"/>
      <c r="AM150" s="29"/>
      <c r="AN150" s="29"/>
      <c r="AO150" s="29"/>
      <c r="AP150" s="29"/>
      <c r="AQ150" s="29"/>
      <c r="AR150" s="29"/>
      <c r="AS150" s="29"/>
      <c r="AT150" s="29"/>
      <c r="AU150" s="29"/>
      <c r="AV150" s="29"/>
      <c r="AW150" s="29"/>
      <c r="AX150" s="29"/>
      <c r="AY150" s="29"/>
    </row>
    <row r="151" spans="1:51">
      <c r="A151" s="35" t="s">
        <v>49</v>
      </c>
      <c r="B151" s="36">
        <v>14</v>
      </c>
      <c r="C151" s="35" t="s">
        <v>66</v>
      </c>
      <c r="D151" s="35" t="s">
        <v>13</v>
      </c>
      <c r="E151" s="35" t="s">
        <v>89</v>
      </c>
      <c r="F151" s="35">
        <v>2014</v>
      </c>
      <c r="G151" s="29">
        <v>14848</v>
      </c>
      <c r="H151" s="29">
        <v>5847</v>
      </c>
      <c r="I151" s="29">
        <v>9001</v>
      </c>
      <c r="J151" s="29">
        <v>112081</v>
      </c>
      <c r="K151" s="29">
        <v>255</v>
      </c>
      <c r="L151" s="29">
        <v>32</v>
      </c>
      <c r="M151" s="29">
        <v>78</v>
      </c>
      <c r="N151" s="29">
        <v>11798</v>
      </c>
      <c r="O151" s="29">
        <v>435120.49567736045</v>
      </c>
      <c r="P151" s="29">
        <v>6963</v>
      </c>
      <c r="Q151" s="29">
        <v>14705</v>
      </c>
      <c r="R151" s="29">
        <v>3470</v>
      </c>
      <c r="S151" s="29"/>
      <c r="T151" s="29"/>
      <c r="U151" s="29">
        <v>5964</v>
      </c>
      <c r="V151" s="29">
        <v>3107</v>
      </c>
      <c r="W151" s="29">
        <v>3118</v>
      </c>
      <c r="X151" s="29">
        <v>2991</v>
      </c>
      <c r="Y151" s="29">
        <v>14848</v>
      </c>
      <c r="Z151" s="29">
        <v>219637773</v>
      </c>
      <c r="AA151" s="29">
        <v>905</v>
      </c>
      <c r="AB151" s="29">
        <v>2137</v>
      </c>
      <c r="AC151" s="29">
        <v>13630</v>
      </c>
      <c r="AD151" s="29">
        <v>1180</v>
      </c>
      <c r="AE151" s="29"/>
      <c r="AF151" s="29"/>
      <c r="AG151" s="29"/>
      <c r="AH151" s="29">
        <v>396</v>
      </c>
      <c r="AI151" s="29">
        <v>491</v>
      </c>
      <c r="AJ151" s="29"/>
      <c r="AK151" s="29"/>
      <c r="AL151" s="29"/>
      <c r="AM151" s="29"/>
      <c r="AN151" s="29"/>
      <c r="AO151" s="29"/>
      <c r="AP151" s="29"/>
      <c r="AQ151" s="29"/>
      <c r="AR151" s="29"/>
      <c r="AS151" s="29"/>
      <c r="AT151" s="29"/>
      <c r="AU151" s="29"/>
      <c r="AV151" s="29"/>
      <c r="AW151" s="29"/>
      <c r="AX151" s="29"/>
      <c r="AY151" s="29"/>
    </row>
    <row r="152" spans="1:51">
      <c r="A152" s="35" t="s">
        <v>49</v>
      </c>
      <c r="B152" s="36">
        <v>15</v>
      </c>
      <c r="C152" s="35" t="s">
        <v>67</v>
      </c>
      <c r="D152" s="35" t="s">
        <v>14</v>
      </c>
      <c r="E152" s="35" t="s">
        <v>89</v>
      </c>
      <c r="F152" s="35">
        <v>2014</v>
      </c>
      <c r="G152" s="29">
        <v>46706</v>
      </c>
      <c r="H152" s="29">
        <v>19347</v>
      </c>
      <c r="I152" s="29">
        <v>27359</v>
      </c>
      <c r="J152" s="29">
        <v>251537</v>
      </c>
      <c r="K152" s="29">
        <v>741</v>
      </c>
      <c r="L152" s="29">
        <v>142</v>
      </c>
      <c r="M152" s="29">
        <v>214</v>
      </c>
      <c r="N152" s="29">
        <v>36737</v>
      </c>
      <c r="O152" s="29">
        <v>911287.59623206698</v>
      </c>
      <c r="P152" s="29">
        <v>19641</v>
      </c>
      <c r="Q152" s="29">
        <v>47473</v>
      </c>
      <c r="R152" s="29">
        <v>10457</v>
      </c>
      <c r="S152" s="29"/>
      <c r="T152" s="29"/>
      <c r="U152" s="29">
        <v>20185</v>
      </c>
      <c r="V152" s="29">
        <v>8724</v>
      </c>
      <c r="W152" s="29">
        <v>9041</v>
      </c>
      <c r="X152" s="29">
        <v>7895</v>
      </c>
      <c r="Y152" s="29">
        <v>46706</v>
      </c>
      <c r="Z152" s="29">
        <v>639065378</v>
      </c>
      <c r="AA152" s="29">
        <v>2378</v>
      </c>
      <c r="AB152" s="29">
        <v>3926</v>
      </c>
      <c r="AC152" s="29">
        <v>25771</v>
      </c>
      <c r="AD152" s="29">
        <v>7841</v>
      </c>
      <c r="AE152" s="29"/>
      <c r="AF152" s="29"/>
      <c r="AG152" s="29"/>
      <c r="AH152" s="29">
        <v>7754</v>
      </c>
      <c r="AI152" s="29">
        <v>671</v>
      </c>
      <c r="AJ152" s="29"/>
      <c r="AK152" s="29"/>
      <c r="AL152" s="29"/>
      <c r="AM152" s="29"/>
      <c r="AN152" s="29"/>
      <c r="AO152" s="29"/>
      <c r="AP152" s="29"/>
      <c r="AQ152" s="29"/>
      <c r="AR152" s="29"/>
      <c r="AS152" s="29"/>
      <c r="AT152" s="29"/>
      <c r="AU152" s="29"/>
      <c r="AV152" s="29"/>
      <c r="AW152" s="29"/>
      <c r="AX152" s="29"/>
      <c r="AY152" s="29"/>
    </row>
    <row r="153" spans="1:51">
      <c r="A153" s="35" t="s">
        <v>49</v>
      </c>
      <c r="B153" s="36">
        <v>16</v>
      </c>
      <c r="C153" s="35" t="s">
        <v>68</v>
      </c>
      <c r="D153" s="35" t="s">
        <v>30</v>
      </c>
      <c r="E153" s="35" t="s">
        <v>89</v>
      </c>
      <c r="F153" s="35">
        <v>2014</v>
      </c>
      <c r="G153" s="29">
        <v>11679</v>
      </c>
      <c r="H153" s="29">
        <v>4533</v>
      </c>
      <c r="I153" s="29">
        <v>7146</v>
      </c>
      <c r="J153" s="29">
        <v>62780</v>
      </c>
      <c r="K153" s="29">
        <v>226</v>
      </c>
      <c r="L153" s="29">
        <v>41</v>
      </c>
      <c r="M153" s="29">
        <v>63</v>
      </c>
      <c r="N153" s="29">
        <v>8768</v>
      </c>
      <c r="O153" s="29">
        <v>265729.05246062623</v>
      </c>
      <c r="P153" s="29">
        <v>5716</v>
      </c>
      <c r="Q153" s="29">
        <v>11807</v>
      </c>
      <c r="R153" s="29">
        <v>2858</v>
      </c>
      <c r="S153" s="29"/>
      <c r="T153" s="29"/>
      <c r="U153" s="29">
        <v>5092</v>
      </c>
      <c r="V153" s="29">
        <v>2342</v>
      </c>
      <c r="W153" s="29">
        <v>2525</v>
      </c>
      <c r="X153" s="29">
        <v>2264</v>
      </c>
      <c r="Y153" s="29">
        <v>11679</v>
      </c>
      <c r="Z153" s="29">
        <v>174887424</v>
      </c>
      <c r="AA153" s="29">
        <v>474</v>
      </c>
      <c r="AB153" s="29">
        <v>1093</v>
      </c>
      <c r="AC153" s="29">
        <v>4341</v>
      </c>
      <c r="AD153" s="29">
        <v>136</v>
      </c>
      <c r="AE153" s="29"/>
      <c r="AF153" s="29"/>
      <c r="AG153" s="29"/>
      <c r="AH153" s="29">
        <v>49</v>
      </c>
      <c r="AI153" s="29"/>
      <c r="AJ153" s="29"/>
      <c r="AK153" s="29"/>
      <c r="AL153" s="29"/>
      <c r="AM153" s="29"/>
      <c r="AN153" s="29"/>
      <c r="AO153" s="29"/>
      <c r="AP153" s="29"/>
      <c r="AQ153" s="29"/>
      <c r="AR153" s="29"/>
      <c r="AS153" s="29"/>
      <c r="AT153" s="29"/>
      <c r="AU153" s="29"/>
      <c r="AV153" s="29"/>
      <c r="AW153" s="29"/>
      <c r="AX153" s="29"/>
      <c r="AY153" s="29"/>
    </row>
    <row r="154" spans="1:51">
      <c r="A154" s="35" t="s">
        <v>49</v>
      </c>
      <c r="B154" s="36">
        <v>17</v>
      </c>
      <c r="C154" s="35" t="s">
        <v>69</v>
      </c>
      <c r="D154" s="35" t="s">
        <v>15</v>
      </c>
      <c r="E154" s="35" t="s">
        <v>89</v>
      </c>
      <c r="F154" s="35">
        <v>2014</v>
      </c>
      <c r="G154" s="29">
        <v>4787</v>
      </c>
      <c r="H154" s="29">
        <v>2047</v>
      </c>
      <c r="I154" s="29">
        <v>2740</v>
      </c>
      <c r="J154" s="29">
        <v>29951</v>
      </c>
      <c r="K154" s="29">
        <v>68</v>
      </c>
      <c r="L154" s="29">
        <v>19</v>
      </c>
      <c r="M154" s="29">
        <v>13</v>
      </c>
      <c r="N154" s="29">
        <v>4104</v>
      </c>
      <c r="O154" s="29">
        <v>103220.9696732038</v>
      </c>
      <c r="P154" s="29">
        <v>2379</v>
      </c>
      <c r="Q154" s="29">
        <v>4693</v>
      </c>
      <c r="R154" s="29">
        <v>1230</v>
      </c>
      <c r="S154" s="29"/>
      <c r="T154" s="29"/>
      <c r="U154" s="29">
        <v>2046</v>
      </c>
      <c r="V154" s="29">
        <v>1119</v>
      </c>
      <c r="W154" s="29">
        <v>1292</v>
      </c>
      <c r="X154" s="29">
        <v>1193</v>
      </c>
      <c r="Y154" s="29">
        <v>4787</v>
      </c>
      <c r="Z154" s="29">
        <v>59590257</v>
      </c>
      <c r="AA154" s="29">
        <v>254</v>
      </c>
      <c r="AB154" s="29">
        <v>592</v>
      </c>
      <c r="AC154" s="29">
        <v>2026</v>
      </c>
      <c r="AD154" s="29">
        <v>53</v>
      </c>
      <c r="AE154" s="29"/>
      <c r="AF154" s="29"/>
      <c r="AG154" s="29"/>
      <c r="AH154" s="29">
        <v>2100</v>
      </c>
      <c r="AI154" s="29"/>
      <c r="AJ154" s="29"/>
      <c r="AK154" s="29"/>
      <c r="AL154" s="29"/>
      <c r="AM154" s="29"/>
      <c r="AN154" s="29"/>
      <c r="AO154" s="29"/>
      <c r="AP154" s="29"/>
      <c r="AQ154" s="29"/>
      <c r="AR154" s="29"/>
      <c r="AS154" s="29"/>
      <c r="AT154" s="29"/>
      <c r="AU154" s="29"/>
      <c r="AV154" s="29"/>
      <c r="AW154" s="29"/>
      <c r="AX154" s="29"/>
      <c r="AY154" s="29"/>
    </row>
    <row r="155" spans="1:51">
      <c r="A155" s="35" t="s">
        <v>49</v>
      </c>
      <c r="B155" s="36">
        <v>18</v>
      </c>
      <c r="C155" s="35" t="s">
        <v>70</v>
      </c>
      <c r="D155" s="35" t="s">
        <v>16</v>
      </c>
      <c r="E155" s="35" t="s">
        <v>89</v>
      </c>
      <c r="F155" s="35">
        <v>2014</v>
      </c>
      <c r="G155" s="29">
        <v>2901</v>
      </c>
      <c r="H155" s="29">
        <v>1099</v>
      </c>
      <c r="I155" s="29">
        <v>1802</v>
      </c>
      <c r="J155" s="29">
        <v>18738</v>
      </c>
      <c r="K155" s="29">
        <v>54</v>
      </c>
      <c r="L155" s="29">
        <v>8</v>
      </c>
      <c r="M155" s="29">
        <v>9</v>
      </c>
      <c r="N155" s="29">
        <v>2675</v>
      </c>
      <c r="O155" s="29">
        <v>65615.376922982876</v>
      </c>
      <c r="P155" s="29">
        <v>1361</v>
      </c>
      <c r="Q155" s="29">
        <v>3037</v>
      </c>
      <c r="R155" s="29">
        <v>655</v>
      </c>
      <c r="S155" s="29"/>
      <c r="T155" s="29"/>
      <c r="U155" s="29">
        <v>1201</v>
      </c>
      <c r="V155" s="29">
        <v>587</v>
      </c>
      <c r="W155" s="29">
        <v>653</v>
      </c>
      <c r="X155" s="29">
        <v>646</v>
      </c>
      <c r="Y155" s="29">
        <v>2901</v>
      </c>
      <c r="Z155" s="29">
        <v>44532298</v>
      </c>
      <c r="AA155" s="29">
        <v>124</v>
      </c>
      <c r="AB155" s="29">
        <v>399</v>
      </c>
      <c r="AC155" s="29">
        <v>978</v>
      </c>
      <c r="AD155" s="29">
        <v>48</v>
      </c>
      <c r="AE155" s="29"/>
      <c r="AF155" s="29"/>
      <c r="AG155" s="29"/>
      <c r="AH155" s="29">
        <v>0</v>
      </c>
      <c r="AI155" s="29"/>
      <c r="AJ155" s="29"/>
      <c r="AK155" s="29"/>
      <c r="AL155" s="29"/>
      <c r="AM155" s="29"/>
      <c r="AN155" s="29"/>
      <c r="AO155" s="29"/>
      <c r="AP155" s="29"/>
      <c r="AQ155" s="29"/>
      <c r="AR155" s="29"/>
      <c r="AS155" s="29"/>
      <c r="AT155" s="29"/>
      <c r="AU155" s="29"/>
      <c r="AV155" s="29"/>
      <c r="AW155" s="29"/>
      <c r="AX155" s="29"/>
      <c r="AY155" s="29"/>
    </row>
    <row r="156" spans="1:51">
      <c r="A156" s="35" t="s">
        <v>49</v>
      </c>
      <c r="B156" s="36">
        <v>19</v>
      </c>
      <c r="C156" s="35" t="s">
        <v>71</v>
      </c>
      <c r="D156" s="35" t="s">
        <v>17</v>
      </c>
      <c r="E156" s="35" t="s">
        <v>89</v>
      </c>
      <c r="F156" s="35">
        <v>2014</v>
      </c>
      <c r="G156" s="29">
        <v>17771</v>
      </c>
      <c r="H156" s="29">
        <v>7442</v>
      </c>
      <c r="I156" s="29">
        <v>10329</v>
      </c>
      <c r="J156" s="29">
        <v>74027</v>
      </c>
      <c r="K156" s="29">
        <v>250</v>
      </c>
      <c r="L156" s="29">
        <v>52</v>
      </c>
      <c r="M156" s="29">
        <v>80</v>
      </c>
      <c r="N156" s="29">
        <v>14825</v>
      </c>
      <c r="O156" s="29">
        <v>260623.0422343692</v>
      </c>
      <c r="P156" s="29">
        <v>9172</v>
      </c>
      <c r="Q156" s="29">
        <v>17191</v>
      </c>
      <c r="R156" s="29">
        <v>3888</v>
      </c>
      <c r="S156" s="29"/>
      <c r="T156" s="29"/>
      <c r="U156" s="29">
        <v>6947</v>
      </c>
      <c r="V156" s="29">
        <v>3522</v>
      </c>
      <c r="W156" s="29">
        <v>3199</v>
      </c>
      <c r="X156" s="29">
        <v>3134</v>
      </c>
      <c r="Y156" s="29">
        <v>17771</v>
      </c>
      <c r="Z156" s="29">
        <v>184722995</v>
      </c>
      <c r="AA156" s="29">
        <v>904</v>
      </c>
      <c r="AB156" s="29">
        <v>1734</v>
      </c>
      <c r="AC156" s="29">
        <v>42589</v>
      </c>
      <c r="AD156" s="29">
        <v>1144</v>
      </c>
      <c r="AE156" s="29"/>
      <c r="AF156" s="29"/>
      <c r="AG156" s="29"/>
      <c r="AH156" s="29">
        <v>39610</v>
      </c>
      <c r="AI156" s="29">
        <v>588</v>
      </c>
      <c r="AJ156" s="29"/>
      <c r="AK156" s="29"/>
      <c r="AL156" s="29"/>
      <c r="AM156" s="29"/>
      <c r="AN156" s="29"/>
      <c r="AO156" s="29"/>
      <c r="AP156" s="29"/>
      <c r="AQ156" s="29"/>
      <c r="AR156" s="29"/>
      <c r="AS156" s="29"/>
      <c r="AT156" s="29"/>
      <c r="AU156" s="29"/>
      <c r="AV156" s="29"/>
      <c r="AW156" s="29"/>
      <c r="AX156" s="29"/>
      <c r="AY156" s="29"/>
    </row>
    <row r="157" spans="1:51">
      <c r="A157" s="35" t="s">
        <v>50</v>
      </c>
      <c r="B157" s="36">
        <v>20</v>
      </c>
      <c r="C157" s="35" t="s">
        <v>85</v>
      </c>
      <c r="D157" s="35" t="s">
        <v>28</v>
      </c>
      <c r="E157" s="35" t="s">
        <v>89</v>
      </c>
      <c r="F157" s="35">
        <v>2014</v>
      </c>
      <c r="G157" s="29">
        <v>6254</v>
      </c>
      <c r="H157" s="29">
        <v>2259</v>
      </c>
      <c r="I157" s="29">
        <v>3995</v>
      </c>
      <c r="J157" s="29">
        <v>64296</v>
      </c>
      <c r="K157" s="29">
        <v>107</v>
      </c>
      <c r="L157" s="29">
        <v>12</v>
      </c>
      <c r="M157" s="29">
        <v>33</v>
      </c>
      <c r="N157" s="29">
        <v>4947</v>
      </c>
      <c r="O157" s="29">
        <v>242911.31360360072</v>
      </c>
      <c r="P157" s="29">
        <v>2817</v>
      </c>
      <c r="Q157" s="29">
        <v>6603</v>
      </c>
      <c r="R157" s="29">
        <v>1551</v>
      </c>
      <c r="S157" s="29"/>
      <c r="T157" s="29"/>
      <c r="U157" s="29">
        <v>2793</v>
      </c>
      <c r="V157" s="29">
        <v>1369</v>
      </c>
      <c r="W157" s="29">
        <v>1194</v>
      </c>
      <c r="X157" s="29">
        <v>931</v>
      </c>
      <c r="Y157" s="29"/>
      <c r="Z157" s="29"/>
      <c r="AA157" s="29">
        <v>380</v>
      </c>
      <c r="AB157" s="29">
        <v>530</v>
      </c>
      <c r="AC157" s="29">
        <v>2196</v>
      </c>
      <c r="AD157" s="29">
        <v>119</v>
      </c>
      <c r="AE157" s="29"/>
      <c r="AF157" s="29"/>
      <c r="AG157" s="29"/>
      <c r="AH157" s="29">
        <v>737</v>
      </c>
      <c r="AI157" s="29"/>
      <c r="AJ157" s="29"/>
      <c r="AK157" s="29"/>
      <c r="AL157" s="29"/>
      <c r="AM157" s="29"/>
      <c r="AN157" s="29"/>
      <c r="AO157" s="29"/>
      <c r="AP157" s="29"/>
      <c r="AQ157" s="29"/>
      <c r="AR157" s="29"/>
      <c r="AS157" s="29"/>
      <c r="AT157" s="29"/>
      <c r="AU157" s="29"/>
      <c r="AV157" s="29"/>
      <c r="AW157" s="29"/>
      <c r="AX157" s="29"/>
      <c r="AY157" s="29"/>
    </row>
    <row r="158" spans="1:51">
      <c r="A158" s="35" t="s">
        <v>49</v>
      </c>
      <c r="B158" s="36">
        <v>21</v>
      </c>
      <c r="C158" s="35" t="s">
        <v>72</v>
      </c>
      <c r="D158" s="35" t="s">
        <v>18</v>
      </c>
      <c r="E158" s="35" t="s">
        <v>89</v>
      </c>
      <c r="F158" s="35">
        <v>2014</v>
      </c>
      <c r="G158" s="29">
        <v>7170</v>
      </c>
      <c r="H158" s="29">
        <v>2818</v>
      </c>
      <c r="I158" s="29">
        <v>4352</v>
      </c>
      <c r="J158" s="29">
        <v>100208</v>
      </c>
      <c r="K158" s="29">
        <v>144</v>
      </c>
      <c r="L158" s="29">
        <v>36</v>
      </c>
      <c r="M158" s="29">
        <v>56</v>
      </c>
      <c r="N158" s="29">
        <v>6088</v>
      </c>
      <c r="O158" s="29">
        <v>366757.92912014597</v>
      </c>
      <c r="P158" s="29">
        <v>3961</v>
      </c>
      <c r="Q158" s="29">
        <v>7277</v>
      </c>
      <c r="R158" s="29">
        <v>1957</v>
      </c>
      <c r="S158" s="29"/>
      <c r="T158" s="29"/>
      <c r="U158" s="29">
        <v>3180</v>
      </c>
      <c r="V158" s="29">
        <v>1712</v>
      </c>
      <c r="W158" s="29">
        <v>1760</v>
      </c>
      <c r="X158" s="29">
        <v>1693</v>
      </c>
      <c r="Y158" s="29">
        <v>7170</v>
      </c>
      <c r="Z158" s="29">
        <v>127235974</v>
      </c>
      <c r="AA158" s="29">
        <v>403</v>
      </c>
      <c r="AB158" s="29">
        <v>898</v>
      </c>
      <c r="AC158" s="29">
        <v>4857</v>
      </c>
      <c r="AD158" s="29">
        <v>214</v>
      </c>
      <c r="AE158" s="29"/>
      <c r="AF158" s="29"/>
      <c r="AG158" s="29"/>
      <c r="AH158" s="29">
        <v>5060</v>
      </c>
      <c r="AI158" s="29"/>
      <c r="AJ158" s="29"/>
      <c r="AK158" s="29"/>
      <c r="AL158" s="29"/>
      <c r="AM158" s="29"/>
      <c r="AN158" s="29"/>
      <c r="AO158" s="29"/>
      <c r="AP158" s="29"/>
      <c r="AQ158" s="29"/>
      <c r="AR158" s="29"/>
      <c r="AS158" s="29"/>
      <c r="AT158" s="29"/>
      <c r="AU158" s="29"/>
      <c r="AV158" s="29"/>
      <c r="AW158" s="29"/>
      <c r="AX158" s="29"/>
      <c r="AY158" s="29"/>
    </row>
    <row r="159" spans="1:51">
      <c r="A159" s="35" t="s">
        <v>49</v>
      </c>
      <c r="B159" s="36">
        <v>22</v>
      </c>
      <c r="C159" s="35" t="s">
        <v>73</v>
      </c>
      <c r="D159" s="35" t="s">
        <v>29</v>
      </c>
      <c r="E159" s="35" t="s">
        <v>89</v>
      </c>
      <c r="F159" s="35">
        <v>2014</v>
      </c>
      <c r="G159" s="29">
        <v>3442</v>
      </c>
      <c r="H159" s="29">
        <v>1476</v>
      </c>
      <c r="I159" s="29">
        <v>1966</v>
      </c>
      <c r="J159" s="29">
        <v>28960</v>
      </c>
      <c r="K159" s="29">
        <v>55</v>
      </c>
      <c r="L159" s="29">
        <v>13</v>
      </c>
      <c r="M159" s="29">
        <v>29</v>
      </c>
      <c r="N159" s="29">
        <v>2953</v>
      </c>
      <c r="O159" s="29">
        <v>113567.57967282939</v>
      </c>
      <c r="P159" s="29">
        <v>2233</v>
      </c>
      <c r="Q159" s="29">
        <v>3224</v>
      </c>
      <c r="R159" s="29">
        <v>763</v>
      </c>
      <c r="S159" s="29"/>
      <c r="T159" s="29"/>
      <c r="U159" s="29">
        <v>1218</v>
      </c>
      <c r="V159" s="29">
        <v>716</v>
      </c>
      <c r="W159" s="29">
        <v>703</v>
      </c>
      <c r="X159" s="29">
        <v>615</v>
      </c>
      <c r="Y159" s="29">
        <v>3442</v>
      </c>
      <c r="Z159" s="29">
        <v>39171273</v>
      </c>
      <c r="AA159" s="29">
        <v>254</v>
      </c>
      <c r="AB159" s="29">
        <v>357</v>
      </c>
      <c r="AC159" s="29">
        <v>1933</v>
      </c>
      <c r="AD159" s="29">
        <v>6</v>
      </c>
      <c r="AE159" s="29"/>
      <c r="AF159" s="29"/>
      <c r="AG159" s="29"/>
      <c r="AH159" s="29">
        <v>0</v>
      </c>
      <c r="AI159" s="29"/>
      <c r="AJ159" s="29"/>
      <c r="AK159" s="29"/>
      <c r="AL159" s="29"/>
      <c r="AM159" s="29"/>
      <c r="AN159" s="29"/>
      <c r="AO159" s="29"/>
      <c r="AP159" s="29"/>
      <c r="AQ159" s="29"/>
      <c r="AR159" s="29"/>
      <c r="AS159" s="29"/>
      <c r="AT159" s="29"/>
      <c r="AU159" s="29"/>
      <c r="AV159" s="29"/>
      <c r="AW159" s="29"/>
      <c r="AX159" s="29"/>
      <c r="AY159" s="29"/>
    </row>
    <row r="160" spans="1:51">
      <c r="A160" s="35" t="s">
        <v>49</v>
      </c>
      <c r="B160" s="36">
        <v>23</v>
      </c>
      <c r="C160" s="35" t="s">
        <v>74</v>
      </c>
      <c r="D160" s="35" t="s">
        <v>19</v>
      </c>
      <c r="E160" s="35" t="s">
        <v>89</v>
      </c>
      <c r="F160" s="35">
        <v>2014</v>
      </c>
      <c r="G160" s="29">
        <v>8119</v>
      </c>
      <c r="H160" s="29">
        <v>2777</v>
      </c>
      <c r="I160" s="29">
        <v>5342</v>
      </c>
      <c r="J160" s="29">
        <v>19254</v>
      </c>
      <c r="K160" s="29">
        <v>104</v>
      </c>
      <c r="L160" s="29">
        <v>18</v>
      </c>
      <c r="M160" s="29">
        <v>29</v>
      </c>
      <c r="N160" s="29">
        <v>6515</v>
      </c>
      <c r="O160" s="29">
        <v>81354.429813431314</v>
      </c>
      <c r="P160" s="29">
        <v>3265</v>
      </c>
      <c r="Q160" s="29">
        <v>8835</v>
      </c>
      <c r="R160" s="29">
        <v>2037</v>
      </c>
      <c r="S160" s="29"/>
      <c r="T160" s="29"/>
      <c r="U160" s="29">
        <v>3176</v>
      </c>
      <c r="V160" s="29">
        <v>1843</v>
      </c>
      <c r="W160" s="29">
        <v>1858</v>
      </c>
      <c r="X160" s="29">
        <v>1793</v>
      </c>
      <c r="Y160" s="29">
        <v>8119</v>
      </c>
      <c r="Z160" s="29">
        <v>84993349</v>
      </c>
      <c r="AA160" s="29">
        <v>413</v>
      </c>
      <c r="AB160" s="29">
        <v>751</v>
      </c>
      <c r="AC160" s="29">
        <v>4110</v>
      </c>
      <c r="AD160" s="29">
        <v>231</v>
      </c>
      <c r="AE160" s="29"/>
      <c r="AF160" s="29"/>
      <c r="AG160" s="29"/>
      <c r="AH160" s="29">
        <v>1255</v>
      </c>
      <c r="AI160" s="29"/>
      <c r="AJ160" s="29"/>
      <c r="AK160" s="29"/>
      <c r="AL160" s="29"/>
      <c r="AM160" s="29"/>
      <c r="AN160" s="29"/>
      <c r="AO160" s="29"/>
      <c r="AP160" s="29"/>
      <c r="AQ160" s="29"/>
      <c r="AR160" s="29"/>
      <c r="AS160" s="29"/>
      <c r="AT160" s="29"/>
      <c r="AU160" s="29"/>
      <c r="AV160" s="29"/>
      <c r="AW160" s="29"/>
      <c r="AX160" s="29"/>
      <c r="AY160" s="29"/>
    </row>
    <row r="161" spans="1:51">
      <c r="A161" s="35" t="s">
        <v>49</v>
      </c>
      <c r="B161" s="36">
        <v>24</v>
      </c>
      <c r="C161" s="35" t="s">
        <v>75</v>
      </c>
      <c r="D161" s="35" t="s">
        <v>20</v>
      </c>
      <c r="E161" s="35" t="s">
        <v>89</v>
      </c>
      <c r="F161" s="35">
        <v>2014</v>
      </c>
      <c r="G161" s="29">
        <v>5248</v>
      </c>
      <c r="H161" s="29">
        <v>2096</v>
      </c>
      <c r="I161" s="29">
        <v>3152</v>
      </c>
      <c r="J161" s="29">
        <v>44581</v>
      </c>
      <c r="K161" s="29">
        <v>85</v>
      </c>
      <c r="L161" s="29">
        <v>25</v>
      </c>
      <c r="M161" s="29">
        <v>28</v>
      </c>
      <c r="N161" s="29">
        <v>4189</v>
      </c>
      <c r="O161" s="29">
        <v>162096.19286616868</v>
      </c>
      <c r="P161" s="29">
        <v>2587</v>
      </c>
      <c r="Q161" s="29">
        <v>5373</v>
      </c>
      <c r="R161" s="29">
        <v>1212</v>
      </c>
      <c r="S161" s="29"/>
      <c r="T161" s="29"/>
      <c r="U161" s="29">
        <v>2310</v>
      </c>
      <c r="V161" s="29">
        <v>1075</v>
      </c>
      <c r="W161" s="29">
        <v>1099</v>
      </c>
      <c r="X161" s="29">
        <v>1058</v>
      </c>
      <c r="Y161" s="29">
        <v>5248</v>
      </c>
      <c r="Z161" s="29">
        <v>74400637</v>
      </c>
      <c r="AA161" s="29">
        <v>330</v>
      </c>
      <c r="AB161" s="29">
        <v>353</v>
      </c>
      <c r="AC161" s="29">
        <v>6288</v>
      </c>
      <c r="AD161" s="29">
        <v>137</v>
      </c>
      <c r="AE161" s="29"/>
      <c r="AF161" s="29"/>
      <c r="AG161" s="29"/>
      <c r="AH161" s="29">
        <v>148</v>
      </c>
      <c r="AI161" s="29"/>
      <c r="AJ161" s="29"/>
      <c r="AK161" s="29"/>
      <c r="AL161" s="29"/>
      <c r="AM161" s="29"/>
      <c r="AN161" s="29"/>
      <c r="AO161" s="29"/>
      <c r="AP161" s="29"/>
      <c r="AQ161" s="29"/>
      <c r="AR161" s="29"/>
      <c r="AS161" s="29"/>
      <c r="AT161" s="29"/>
      <c r="AU161" s="29"/>
      <c r="AV161" s="29"/>
      <c r="AW161" s="29"/>
      <c r="AX161" s="29"/>
      <c r="AY161" s="29"/>
    </row>
    <row r="162" spans="1:51">
      <c r="A162" s="35" t="s">
        <v>49</v>
      </c>
      <c r="B162" s="36">
        <v>25</v>
      </c>
      <c r="C162" s="35" t="s">
        <v>76</v>
      </c>
      <c r="D162" s="35" t="s">
        <v>21</v>
      </c>
      <c r="E162" s="35" t="s">
        <v>89</v>
      </c>
      <c r="F162" s="35">
        <v>2014</v>
      </c>
      <c r="G162" s="29">
        <v>8710</v>
      </c>
      <c r="H162" s="29">
        <v>3009</v>
      </c>
      <c r="I162" s="29">
        <v>5701</v>
      </c>
      <c r="J162" s="29">
        <v>42315</v>
      </c>
      <c r="K162" s="29">
        <v>183</v>
      </c>
      <c r="L162" s="29">
        <v>51</v>
      </c>
      <c r="M162" s="29">
        <v>52</v>
      </c>
      <c r="N162" s="29">
        <v>7519</v>
      </c>
      <c r="O162" s="29">
        <v>166457.72226850703</v>
      </c>
      <c r="P162" s="29">
        <v>3539</v>
      </c>
      <c r="Q162" s="29">
        <v>9306</v>
      </c>
      <c r="R162" s="29">
        <v>2357</v>
      </c>
      <c r="S162" s="29"/>
      <c r="T162" s="29"/>
      <c r="U162" s="29">
        <v>3737</v>
      </c>
      <c r="V162" s="29">
        <v>2199</v>
      </c>
      <c r="W162" s="29">
        <v>2310</v>
      </c>
      <c r="X162" s="29">
        <v>2282</v>
      </c>
      <c r="Y162" s="29">
        <v>8710</v>
      </c>
      <c r="Z162" s="29">
        <v>188341290</v>
      </c>
      <c r="AA162" s="29">
        <v>610</v>
      </c>
      <c r="AB162" s="29">
        <v>941</v>
      </c>
      <c r="AC162" s="29">
        <v>3570</v>
      </c>
      <c r="AD162" s="29">
        <v>326</v>
      </c>
      <c r="AE162" s="29"/>
      <c r="AF162" s="29"/>
      <c r="AG162" s="29"/>
      <c r="AH162" s="29">
        <v>246</v>
      </c>
      <c r="AI162" s="29"/>
      <c r="AJ162" s="29"/>
      <c r="AK162" s="29"/>
      <c r="AL162" s="29"/>
      <c r="AM162" s="29"/>
      <c r="AN162" s="29"/>
      <c r="AO162" s="29"/>
      <c r="AP162" s="29"/>
      <c r="AQ162" s="29"/>
      <c r="AR162" s="29"/>
      <c r="AS162" s="29"/>
      <c r="AT162" s="29"/>
      <c r="AU162" s="29"/>
      <c r="AV162" s="29"/>
      <c r="AW162" s="29"/>
      <c r="AX162" s="29"/>
      <c r="AY162" s="29"/>
    </row>
    <row r="163" spans="1:51">
      <c r="A163" s="35" t="s">
        <v>49</v>
      </c>
      <c r="B163" s="36">
        <v>26</v>
      </c>
      <c r="C163" s="35" t="s">
        <v>77</v>
      </c>
      <c r="D163" s="35" t="s">
        <v>22</v>
      </c>
      <c r="E163" s="35" t="s">
        <v>89</v>
      </c>
      <c r="F163" s="35">
        <v>2014</v>
      </c>
      <c r="G163" s="29">
        <v>13206</v>
      </c>
      <c r="H163" s="29">
        <v>5686</v>
      </c>
      <c r="I163" s="29">
        <v>7520</v>
      </c>
      <c r="J163" s="29">
        <v>47196</v>
      </c>
      <c r="K163" s="29">
        <v>243</v>
      </c>
      <c r="L163" s="29">
        <v>36</v>
      </c>
      <c r="M163" s="29">
        <v>47</v>
      </c>
      <c r="N163" s="29">
        <v>11132</v>
      </c>
      <c r="O163" s="29">
        <v>157947.49966147181</v>
      </c>
      <c r="P163" s="29">
        <v>5848</v>
      </c>
      <c r="Q163" s="29">
        <v>12900</v>
      </c>
      <c r="R163" s="29">
        <v>2678</v>
      </c>
      <c r="S163" s="29"/>
      <c r="T163" s="29"/>
      <c r="U163" s="29">
        <v>5937</v>
      </c>
      <c r="V163" s="29">
        <v>2409</v>
      </c>
      <c r="W163" s="29">
        <v>2545</v>
      </c>
      <c r="X163" s="29">
        <v>2323</v>
      </c>
      <c r="Y163" s="29">
        <v>13206</v>
      </c>
      <c r="Z163" s="29">
        <v>191095252</v>
      </c>
      <c r="AA163" s="29">
        <v>517</v>
      </c>
      <c r="AB163" s="29">
        <v>1019</v>
      </c>
      <c r="AC163" s="29">
        <v>10087</v>
      </c>
      <c r="AD163" s="29">
        <v>1322</v>
      </c>
      <c r="AE163" s="29"/>
      <c r="AF163" s="29"/>
      <c r="AG163" s="29"/>
      <c r="AH163" s="29">
        <v>61</v>
      </c>
      <c r="AI163" s="29"/>
      <c r="AJ163" s="29"/>
      <c r="AK163" s="29"/>
      <c r="AL163" s="29"/>
      <c r="AM163" s="29"/>
      <c r="AN163" s="29"/>
      <c r="AO163" s="29"/>
      <c r="AP163" s="29"/>
      <c r="AQ163" s="29"/>
      <c r="AR163" s="29"/>
      <c r="AS163" s="29"/>
      <c r="AT163" s="29"/>
      <c r="AU163" s="29"/>
      <c r="AV163" s="29"/>
      <c r="AW163" s="29"/>
      <c r="AX163" s="29"/>
      <c r="AY163" s="29"/>
    </row>
    <row r="164" spans="1:51">
      <c r="A164" s="35" t="s">
        <v>49</v>
      </c>
      <c r="B164" s="36">
        <v>27</v>
      </c>
      <c r="C164" s="35" t="s">
        <v>78</v>
      </c>
      <c r="D164" s="35" t="s">
        <v>23</v>
      </c>
      <c r="E164" s="35" t="s">
        <v>89</v>
      </c>
      <c r="F164" s="35">
        <v>2014</v>
      </c>
      <c r="G164" s="29">
        <v>5650</v>
      </c>
      <c r="H164" s="29">
        <v>2162</v>
      </c>
      <c r="I164" s="29">
        <v>3488</v>
      </c>
      <c r="J164" s="29">
        <v>37096</v>
      </c>
      <c r="K164" s="29">
        <v>76</v>
      </c>
      <c r="L164" s="29">
        <v>22</v>
      </c>
      <c r="M164" s="29">
        <v>25</v>
      </c>
      <c r="N164" s="29">
        <v>4790</v>
      </c>
      <c r="O164" s="29">
        <v>134485.23354493981</v>
      </c>
      <c r="P164" s="29">
        <v>2162</v>
      </c>
      <c r="Q164" s="29">
        <v>5452</v>
      </c>
      <c r="R164" s="29">
        <v>1251</v>
      </c>
      <c r="S164" s="29"/>
      <c r="T164" s="29"/>
      <c r="U164" s="29">
        <v>1976</v>
      </c>
      <c r="V164" s="29">
        <v>1082</v>
      </c>
      <c r="W164" s="29">
        <v>1138</v>
      </c>
      <c r="X164" s="29">
        <v>1102</v>
      </c>
      <c r="Y164" s="29">
        <v>5650</v>
      </c>
      <c r="Z164" s="29">
        <v>94704706</v>
      </c>
      <c r="AA164" s="29">
        <v>297</v>
      </c>
      <c r="AB164" s="29">
        <v>497</v>
      </c>
      <c r="AC164" s="29">
        <v>1647</v>
      </c>
      <c r="AD164" s="29">
        <v>18</v>
      </c>
      <c r="AE164" s="29"/>
      <c r="AF164" s="29"/>
      <c r="AG164" s="29"/>
      <c r="AH164" s="29">
        <v>494</v>
      </c>
      <c r="AI164" s="29"/>
      <c r="AJ164" s="29"/>
      <c r="AK164" s="29"/>
      <c r="AL164" s="29"/>
      <c r="AM164" s="29"/>
      <c r="AN164" s="29"/>
      <c r="AO164" s="29"/>
      <c r="AP164" s="29"/>
      <c r="AQ164" s="29"/>
      <c r="AR164" s="29"/>
      <c r="AS164" s="29"/>
      <c r="AT164" s="29"/>
      <c r="AU164" s="29"/>
      <c r="AV164" s="29"/>
      <c r="AW164" s="29"/>
      <c r="AX164" s="29"/>
      <c r="AY164" s="29"/>
    </row>
    <row r="165" spans="1:51">
      <c r="A165" s="35" t="s">
        <v>49</v>
      </c>
      <c r="B165" s="36">
        <v>28</v>
      </c>
      <c r="C165" s="35" t="s">
        <v>79</v>
      </c>
      <c r="D165" s="35" t="s">
        <v>24</v>
      </c>
      <c r="E165" s="35" t="s">
        <v>89</v>
      </c>
      <c r="F165" s="35">
        <v>2014</v>
      </c>
      <c r="G165" s="29">
        <v>9281</v>
      </c>
      <c r="H165" s="29">
        <v>3511</v>
      </c>
      <c r="I165" s="29">
        <v>5770</v>
      </c>
      <c r="J165" s="29">
        <v>45178</v>
      </c>
      <c r="K165" s="29">
        <v>147</v>
      </c>
      <c r="L165" s="29">
        <v>22</v>
      </c>
      <c r="M165" s="29">
        <v>49</v>
      </c>
      <c r="N165" s="29">
        <v>8044</v>
      </c>
      <c r="O165" s="29">
        <v>186927.85501677764</v>
      </c>
      <c r="P165" s="29">
        <v>4017</v>
      </c>
      <c r="Q165" s="29">
        <v>9144</v>
      </c>
      <c r="R165" s="29">
        <v>1900</v>
      </c>
      <c r="S165" s="29"/>
      <c r="T165" s="29"/>
      <c r="U165" s="29">
        <v>3417</v>
      </c>
      <c r="V165" s="29">
        <v>1728</v>
      </c>
      <c r="W165" s="29">
        <v>1672</v>
      </c>
      <c r="X165" s="29">
        <v>1591</v>
      </c>
      <c r="Y165" s="29">
        <v>9281</v>
      </c>
      <c r="Z165" s="29">
        <v>147355193</v>
      </c>
      <c r="AA165" s="29">
        <v>408</v>
      </c>
      <c r="AB165" s="29">
        <v>955</v>
      </c>
      <c r="AC165" s="29">
        <v>11238</v>
      </c>
      <c r="AD165" s="29">
        <v>213</v>
      </c>
      <c r="AE165" s="29"/>
      <c r="AF165" s="29"/>
      <c r="AG165" s="29"/>
      <c r="AH165" s="29">
        <v>59</v>
      </c>
      <c r="AI165" s="29">
        <v>49</v>
      </c>
      <c r="AJ165" s="29"/>
      <c r="AK165" s="29"/>
      <c r="AL165" s="29"/>
      <c r="AM165" s="29"/>
      <c r="AN165" s="29"/>
      <c r="AO165" s="29"/>
      <c r="AP165" s="29"/>
      <c r="AQ165" s="29"/>
      <c r="AR165" s="29"/>
      <c r="AS165" s="29"/>
      <c r="AT165" s="29"/>
      <c r="AU165" s="29"/>
      <c r="AV165" s="29"/>
      <c r="AW165" s="29"/>
      <c r="AX165" s="29"/>
      <c r="AY165" s="29"/>
    </row>
    <row r="166" spans="1:51">
      <c r="A166" s="35" t="s">
        <v>49</v>
      </c>
      <c r="B166" s="36">
        <v>29</v>
      </c>
      <c r="C166" s="35" t="s">
        <v>80</v>
      </c>
      <c r="D166" s="35" t="s">
        <v>25</v>
      </c>
      <c r="E166" s="35" t="s">
        <v>89</v>
      </c>
      <c r="F166" s="35">
        <v>2014</v>
      </c>
      <c r="G166" s="29">
        <v>3081</v>
      </c>
      <c r="H166" s="29">
        <v>1224</v>
      </c>
      <c r="I166" s="29">
        <v>1857</v>
      </c>
      <c r="J166" s="29">
        <v>20703</v>
      </c>
      <c r="K166" s="29">
        <v>43</v>
      </c>
      <c r="L166" s="29">
        <v>11</v>
      </c>
      <c r="M166" s="29">
        <v>17</v>
      </c>
      <c r="N166" s="29">
        <v>2556</v>
      </c>
      <c r="O166" s="29">
        <v>73465.171265943092</v>
      </c>
      <c r="P166" s="29">
        <v>1374</v>
      </c>
      <c r="Q166" s="29">
        <v>3098</v>
      </c>
      <c r="R166" s="29">
        <v>716</v>
      </c>
      <c r="S166" s="29"/>
      <c r="T166" s="29"/>
      <c r="U166" s="29">
        <v>1065</v>
      </c>
      <c r="V166" s="29">
        <v>618</v>
      </c>
      <c r="W166" s="29">
        <v>628</v>
      </c>
      <c r="X166" s="29">
        <v>618</v>
      </c>
      <c r="Y166" s="29">
        <v>3081</v>
      </c>
      <c r="Z166" s="29">
        <v>35904311</v>
      </c>
      <c r="AA166" s="29">
        <v>188</v>
      </c>
      <c r="AB166" s="29">
        <v>372</v>
      </c>
      <c r="AC166" s="29">
        <v>740</v>
      </c>
      <c r="AD166" s="29">
        <v>98</v>
      </c>
      <c r="AE166" s="29"/>
      <c r="AF166" s="29"/>
      <c r="AG166" s="29"/>
      <c r="AH166" s="29">
        <v>0</v>
      </c>
      <c r="AI166" s="29"/>
      <c r="AJ166" s="29"/>
      <c r="AK166" s="29"/>
      <c r="AL166" s="29"/>
      <c r="AM166" s="29"/>
      <c r="AN166" s="29"/>
      <c r="AO166" s="29"/>
      <c r="AP166" s="29"/>
      <c r="AQ166" s="29"/>
      <c r="AR166" s="29"/>
      <c r="AS166" s="29"/>
      <c r="AT166" s="29"/>
      <c r="AU166" s="29"/>
      <c r="AV166" s="29"/>
      <c r="AW166" s="29"/>
      <c r="AX166" s="29"/>
      <c r="AY166" s="29"/>
    </row>
    <row r="167" spans="1:51">
      <c r="A167" s="35" t="s">
        <v>49</v>
      </c>
      <c r="B167" s="36">
        <v>30</v>
      </c>
      <c r="C167" s="35" t="s">
        <v>81</v>
      </c>
      <c r="D167" s="35" t="s">
        <v>53</v>
      </c>
      <c r="E167" s="35" t="s">
        <v>89</v>
      </c>
      <c r="F167" s="35">
        <v>2014</v>
      </c>
      <c r="G167" s="29">
        <v>9124</v>
      </c>
      <c r="H167" s="29">
        <v>3471</v>
      </c>
      <c r="I167" s="29">
        <v>5653</v>
      </c>
      <c r="J167" s="29">
        <v>126662</v>
      </c>
      <c r="K167" s="29">
        <v>175</v>
      </c>
      <c r="L167" s="29">
        <v>36</v>
      </c>
      <c r="M167" s="29">
        <v>74</v>
      </c>
      <c r="N167" s="29">
        <v>7781</v>
      </c>
      <c r="O167" s="29">
        <v>452203.20298290963</v>
      </c>
      <c r="P167" s="29">
        <v>4973</v>
      </c>
      <c r="Q167" s="29">
        <v>9096</v>
      </c>
      <c r="R167" s="29">
        <v>2328</v>
      </c>
      <c r="S167" s="29"/>
      <c r="T167" s="29"/>
      <c r="U167" s="29">
        <v>3724</v>
      </c>
      <c r="V167" s="29">
        <v>2162</v>
      </c>
      <c r="W167" s="29">
        <v>2105</v>
      </c>
      <c r="X167" s="29">
        <v>2017</v>
      </c>
      <c r="Y167" s="29">
        <v>9124</v>
      </c>
      <c r="Z167" s="29">
        <v>193254123</v>
      </c>
      <c r="AA167" s="29">
        <v>565</v>
      </c>
      <c r="AB167" s="29">
        <v>1217</v>
      </c>
      <c r="AC167" s="29">
        <v>7761</v>
      </c>
      <c r="AD167" s="29">
        <v>198</v>
      </c>
      <c r="AE167" s="29"/>
      <c r="AF167" s="29"/>
      <c r="AG167" s="29"/>
      <c r="AH167" s="29">
        <v>1150</v>
      </c>
      <c r="AI167" s="29">
        <v>563</v>
      </c>
      <c r="AJ167" s="29"/>
      <c r="AK167" s="29"/>
      <c r="AL167" s="29"/>
      <c r="AM167" s="29"/>
      <c r="AN167" s="29"/>
      <c r="AO167" s="29"/>
      <c r="AP167" s="29"/>
      <c r="AQ167" s="29"/>
      <c r="AR167" s="29"/>
      <c r="AS167" s="29"/>
      <c r="AT167" s="29"/>
      <c r="AU167" s="29"/>
      <c r="AV167" s="29"/>
      <c r="AW167" s="29"/>
      <c r="AX167" s="29"/>
      <c r="AY167" s="29"/>
    </row>
    <row r="168" spans="1:51">
      <c r="A168" s="35" t="s">
        <v>49</v>
      </c>
      <c r="B168" s="36">
        <v>31</v>
      </c>
      <c r="C168" s="35" t="s">
        <v>82</v>
      </c>
      <c r="D168" s="35" t="s">
        <v>26</v>
      </c>
      <c r="E168" s="35" t="s">
        <v>89</v>
      </c>
      <c r="F168" s="35">
        <v>2014</v>
      </c>
      <c r="G168" s="29">
        <v>4704</v>
      </c>
      <c r="H168" s="29">
        <v>1794</v>
      </c>
      <c r="I168" s="29">
        <v>2910</v>
      </c>
      <c r="J168" s="29">
        <v>30399</v>
      </c>
      <c r="K168" s="29">
        <v>63</v>
      </c>
      <c r="L168" s="29">
        <v>14</v>
      </c>
      <c r="M168" s="29">
        <v>24</v>
      </c>
      <c r="N168" s="29">
        <v>3574</v>
      </c>
      <c r="O168" s="29">
        <v>112099.1667818322</v>
      </c>
      <c r="P168" s="29">
        <v>2327</v>
      </c>
      <c r="Q168" s="29">
        <v>4673</v>
      </c>
      <c r="R168" s="29">
        <v>950</v>
      </c>
      <c r="S168" s="29"/>
      <c r="T168" s="29"/>
      <c r="U168" s="29">
        <v>1953</v>
      </c>
      <c r="V168" s="29">
        <v>849</v>
      </c>
      <c r="W168" s="29">
        <v>998</v>
      </c>
      <c r="X168" s="29">
        <v>869</v>
      </c>
      <c r="Y168" s="29">
        <v>4704</v>
      </c>
      <c r="Z168" s="29">
        <v>85719142</v>
      </c>
      <c r="AA168" s="29">
        <v>273</v>
      </c>
      <c r="AB168" s="29">
        <v>360</v>
      </c>
      <c r="AC168" s="29">
        <v>5669</v>
      </c>
      <c r="AD168" s="29">
        <v>11</v>
      </c>
      <c r="AE168" s="29"/>
      <c r="AF168" s="29"/>
      <c r="AG168" s="29"/>
      <c r="AH168" s="29">
        <v>1436</v>
      </c>
      <c r="AI168" s="29"/>
      <c r="AJ168" s="29"/>
      <c r="AK168" s="29"/>
      <c r="AL168" s="29"/>
      <c r="AM168" s="29"/>
      <c r="AN168" s="29"/>
      <c r="AO168" s="29"/>
      <c r="AP168" s="29"/>
      <c r="AQ168" s="29"/>
      <c r="AR168" s="29"/>
      <c r="AS168" s="29"/>
      <c r="AT168" s="29"/>
      <c r="AU168" s="29"/>
      <c r="AV168" s="29"/>
      <c r="AW168" s="29"/>
      <c r="AX168" s="29"/>
      <c r="AY168" s="29"/>
    </row>
    <row r="169" spans="1:51">
      <c r="A169" s="35" t="s">
        <v>49</v>
      </c>
      <c r="B169" s="36">
        <v>32</v>
      </c>
      <c r="C169" s="35" t="s">
        <v>83</v>
      </c>
      <c r="D169" s="35" t="s">
        <v>27</v>
      </c>
      <c r="E169" s="35" t="s">
        <v>89</v>
      </c>
      <c r="F169" s="35">
        <v>2014</v>
      </c>
      <c r="G169" s="29">
        <v>1694</v>
      </c>
      <c r="H169" s="29">
        <v>695</v>
      </c>
      <c r="I169" s="29">
        <v>999</v>
      </c>
      <c r="J169" s="29">
        <v>26654</v>
      </c>
      <c r="K169" s="29">
        <v>46</v>
      </c>
      <c r="L169" s="29">
        <v>16</v>
      </c>
      <c r="M169" s="29">
        <v>7</v>
      </c>
      <c r="N169" s="29">
        <v>1355</v>
      </c>
      <c r="O169" s="29">
        <v>91323.11722019731</v>
      </c>
      <c r="P169" s="29">
        <v>790</v>
      </c>
      <c r="Q169" s="29">
        <v>1759</v>
      </c>
      <c r="R169" s="29">
        <v>342</v>
      </c>
      <c r="S169" s="29"/>
      <c r="T169" s="29"/>
      <c r="U169" s="29">
        <v>704</v>
      </c>
      <c r="V169" s="29">
        <v>276</v>
      </c>
      <c r="W169" s="29">
        <v>287</v>
      </c>
      <c r="X169" s="29">
        <v>283</v>
      </c>
      <c r="Y169" s="29">
        <v>1694</v>
      </c>
      <c r="Z169" s="29">
        <v>31289967</v>
      </c>
      <c r="AA169" s="29">
        <v>85</v>
      </c>
      <c r="AB169" s="29">
        <v>164</v>
      </c>
      <c r="AC169" s="29">
        <v>2318</v>
      </c>
      <c r="AD169" s="29">
        <v>316</v>
      </c>
      <c r="AE169" s="29"/>
      <c r="AF169" s="29"/>
      <c r="AG169" s="29"/>
      <c r="AH169" s="29">
        <v>252</v>
      </c>
      <c r="AI169" s="29"/>
      <c r="AJ169" s="29"/>
      <c r="AK169" s="29"/>
      <c r="AL169" s="29"/>
      <c r="AM169" s="29"/>
      <c r="AN169" s="29"/>
      <c r="AO169" s="29"/>
      <c r="AP169" s="29"/>
      <c r="AQ169" s="29"/>
      <c r="AR169" s="29"/>
      <c r="AS169" s="29"/>
      <c r="AT169" s="29"/>
      <c r="AU169" s="29"/>
      <c r="AV169" s="29"/>
      <c r="AW169" s="29"/>
      <c r="AX169" s="29"/>
      <c r="AY169" s="29"/>
    </row>
    <row r="170" spans="1:51">
      <c r="A170" s="35" t="s">
        <v>124</v>
      </c>
      <c r="B170" s="36">
        <v>33</v>
      </c>
      <c r="C170" s="35" t="s">
        <v>125</v>
      </c>
      <c r="D170" s="35" t="s">
        <v>40</v>
      </c>
      <c r="E170" s="35" t="s">
        <v>89</v>
      </c>
      <c r="F170" s="35">
        <v>2014</v>
      </c>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row>
    <row r="171" spans="1:51">
      <c r="A171" s="35" t="s">
        <v>50</v>
      </c>
      <c r="B171" s="36">
        <v>0</v>
      </c>
      <c r="C171" s="35" t="s">
        <v>123</v>
      </c>
      <c r="D171" s="35" t="s">
        <v>39</v>
      </c>
      <c r="E171" s="35" t="s">
        <v>89</v>
      </c>
      <c r="F171" s="35">
        <v>2014</v>
      </c>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v>769</v>
      </c>
      <c r="AI171" s="29"/>
      <c r="AJ171" s="29">
        <v>282670</v>
      </c>
      <c r="AK171" s="29">
        <v>1422011.4</v>
      </c>
      <c r="AL171" s="29">
        <v>1422011.4</v>
      </c>
      <c r="AM171" s="29">
        <v>1425249.5</v>
      </c>
      <c r="AN171" s="29">
        <v>1296985</v>
      </c>
      <c r="AO171" s="29">
        <v>1296985</v>
      </c>
      <c r="AP171" s="29">
        <v>1409321.5</v>
      </c>
      <c r="AQ171" s="29">
        <v>1412252.6</v>
      </c>
      <c r="AR171" s="29">
        <v>12690</v>
      </c>
      <c r="AS171" s="29">
        <v>12997</v>
      </c>
      <c r="AT171" s="29">
        <v>111761.9</v>
      </c>
      <c r="AU171" s="29">
        <v>1422011.4</v>
      </c>
      <c r="AV171" s="29">
        <v>105208.6</v>
      </c>
      <c r="AW171" s="29">
        <v>115000</v>
      </c>
      <c r="AX171" s="29">
        <v>1422011.4</v>
      </c>
      <c r="AY171" s="29">
        <v>1425249.5</v>
      </c>
    </row>
    <row r="172" spans="1:51">
      <c r="A172" s="37" t="s">
        <v>49</v>
      </c>
      <c r="B172" s="38">
        <v>1</v>
      </c>
      <c r="C172" s="37" t="s">
        <v>54</v>
      </c>
      <c r="D172" s="37" t="s">
        <v>1</v>
      </c>
      <c r="E172" s="37" t="s">
        <v>90</v>
      </c>
      <c r="F172" s="37">
        <v>2015</v>
      </c>
      <c r="G172" s="11">
        <v>4664</v>
      </c>
      <c r="H172" s="11">
        <v>1765</v>
      </c>
      <c r="I172" s="11">
        <v>2899</v>
      </c>
      <c r="J172" s="11">
        <v>24393</v>
      </c>
      <c r="K172" s="11">
        <v>84</v>
      </c>
      <c r="L172" s="11">
        <v>14</v>
      </c>
      <c r="M172" s="11">
        <v>19</v>
      </c>
      <c r="N172" s="11">
        <v>4285</v>
      </c>
      <c r="O172" s="11">
        <v>75584.213108640746</v>
      </c>
      <c r="P172" s="11">
        <v>2733</v>
      </c>
      <c r="Q172" s="11">
        <v>4702</v>
      </c>
      <c r="R172" s="11">
        <v>1283</v>
      </c>
      <c r="S172" s="11"/>
      <c r="T172" s="11"/>
      <c r="U172" s="11">
        <v>1859</v>
      </c>
      <c r="V172" s="11">
        <v>1091</v>
      </c>
      <c r="W172" s="11">
        <v>1195</v>
      </c>
      <c r="X172" s="11">
        <v>1104</v>
      </c>
      <c r="Y172" s="11">
        <v>4664</v>
      </c>
      <c r="Z172" s="11">
        <v>55996773</v>
      </c>
      <c r="AA172" s="11">
        <v>299</v>
      </c>
      <c r="AB172" s="11">
        <v>451</v>
      </c>
      <c r="AC172" s="11">
        <v>2738</v>
      </c>
      <c r="AD172" s="11">
        <v>351</v>
      </c>
      <c r="AE172" s="11"/>
      <c r="AF172" s="11"/>
      <c r="AG172" s="11"/>
      <c r="AH172" s="11">
        <v>486</v>
      </c>
      <c r="AI172" s="11"/>
      <c r="AJ172" s="11"/>
      <c r="AK172" s="11"/>
      <c r="AL172" s="11"/>
      <c r="AM172" s="11"/>
      <c r="AN172" s="11"/>
      <c r="AO172" s="11"/>
      <c r="AP172" s="11"/>
      <c r="AQ172" s="11"/>
      <c r="AR172" s="11"/>
      <c r="AS172" s="11"/>
      <c r="AT172" s="11"/>
      <c r="AU172" s="11"/>
      <c r="AV172" s="11"/>
      <c r="AW172" s="11"/>
      <c r="AX172" s="11"/>
      <c r="AY172" s="11"/>
    </row>
    <row r="173" spans="1:51">
      <c r="A173" s="37" t="s">
        <v>49</v>
      </c>
      <c r="B173" s="38">
        <v>2</v>
      </c>
      <c r="C173" s="37" t="s">
        <v>55</v>
      </c>
      <c r="D173" s="37" t="s">
        <v>3</v>
      </c>
      <c r="E173" s="37" t="s">
        <v>90</v>
      </c>
      <c r="F173" s="37">
        <v>2015</v>
      </c>
      <c r="G173" s="11">
        <v>8256</v>
      </c>
      <c r="H173" s="11">
        <v>3651</v>
      </c>
      <c r="I173" s="11">
        <v>4605</v>
      </c>
      <c r="J173" s="11">
        <v>54941</v>
      </c>
      <c r="K173" s="11">
        <v>118</v>
      </c>
      <c r="L173" s="11">
        <v>16</v>
      </c>
      <c r="M173" s="11">
        <v>25</v>
      </c>
      <c r="N173" s="11">
        <v>6270</v>
      </c>
      <c r="O173" s="11">
        <v>190856.64998810878</v>
      </c>
      <c r="P173" s="11">
        <v>4071</v>
      </c>
      <c r="Q173" s="11">
        <v>8064</v>
      </c>
      <c r="R173" s="11">
        <v>1768</v>
      </c>
      <c r="S173" s="11"/>
      <c r="T173" s="11"/>
      <c r="U173" s="11">
        <v>3424</v>
      </c>
      <c r="V173" s="11">
        <v>1519</v>
      </c>
      <c r="W173" s="11">
        <v>1508</v>
      </c>
      <c r="X173" s="11">
        <v>1422</v>
      </c>
      <c r="Y173" s="11">
        <v>8256</v>
      </c>
      <c r="Z173" s="11">
        <v>119937277</v>
      </c>
      <c r="AA173" s="11">
        <v>372</v>
      </c>
      <c r="AB173" s="11">
        <v>627</v>
      </c>
      <c r="AC173" s="11">
        <v>2365</v>
      </c>
      <c r="AD173" s="11">
        <v>37</v>
      </c>
      <c r="AE173" s="11"/>
      <c r="AF173" s="11"/>
      <c r="AG173" s="11"/>
      <c r="AH173" s="11">
        <v>65</v>
      </c>
      <c r="AI173" s="11">
        <v>1083</v>
      </c>
      <c r="AJ173" s="11"/>
      <c r="AK173" s="11"/>
      <c r="AL173" s="11"/>
      <c r="AM173" s="11"/>
      <c r="AN173" s="11"/>
      <c r="AO173" s="11"/>
      <c r="AP173" s="11"/>
      <c r="AQ173" s="11"/>
      <c r="AR173" s="11"/>
      <c r="AS173" s="11"/>
      <c r="AT173" s="11"/>
      <c r="AU173" s="11"/>
      <c r="AV173" s="11"/>
      <c r="AW173" s="11"/>
      <c r="AX173" s="11"/>
      <c r="AY173" s="11"/>
    </row>
    <row r="174" spans="1:51">
      <c r="A174" s="37" t="s">
        <v>49</v>
      </c>
      <c r="B174" s="38">
        <v>3</v>
      </c>
      <c r="C174" s="37" t="s">
        <v>56</v>
      </c>
      <c r="D174" s="37" t="s">
        <v>4</v>
      </c>
      <c r="E174" s="37" t="s">
        <v>90</v>
      </c>
      <c r="F174" s="37">
        <v>2015</v>
      </c>
      <c r="G174" s="11">
        <v>1875</v>
      </c>
      <c r="H174" s="11">
        <v>660</v>
      </c>
      <c r="I174" s="11">
        <v>1215</v>
      </c>
      <c r="J174" s="11">
        <v>12036</v>
      </c>
      <c r="K174" s="11">
        <v>17</v>
      </c>
      <c r="L174" s="11">
        <v>6</v>
      </c>
      <c r="M174" s="11">
        <v>2</v>
      </c>
      <c r="N174" s="11">
        <v>1313</v>
      </c>
      <c r="O174" s="11">
        <v>40261.144968133696</v>
      </c>
      <c r="P174" s="11">
        <v>909</v>
      </c>
      <c r="Q174" s="11">
        <v>1962</v>
      </c>
      <c r="R174" s="11">
        <v>492</v>
      </c>
      <c r="S174" s="11"/>
      <c r="T174" s="11"/>
      <c r="U174" s="11">
        <v>858</v>
      </c>
      <c r="V174" s="11">
        <v>429</v>
      </c>
      <c r="W174" s="11">
        <v>331</v>
      </c>
      <c r="X174" s="11">
        <v>308</v>
      </c>
      <c r="Y174" s="11">
        <v>1875</v>
      </c>
      <c r="Z174" s="11">
        <v>30051110</v>
      </c>
      <c r="AA174" s="11">
        <v>99</v>
      </c>
      <c r="AB174" s="11">
        <v>217</v>
      </c>
      <c r="AC174" s="11">
        <v>707</v>
      </c>
      <c r="AD174" s="11">
        <v>0</v>
      </c>
      <c r="AE174" s="11"/>
      <c r="AF174" s="11"/>
      <c r="AG174" s="11"/>
      <c r="AH174" s="11">
        <v>39</v>
      </c>
      <c r="AI174" s="11"/>
      <c r="AJ174" s="11"/>
      <c r="AK174" s="11"/>
      <c r="AL174" s="11"/>
      <c r="AM174" s="11"/>
      <c r="AN174" s="11"/>
      <c r="AO174" s="11"/>
      <c r="AP174" s="11"/>
      <c r="AQ174" s="11"/>
      <c r="AR174" s="11"/>
      <c r="AS174" s="11"/>
      <c r="AT174" s="11"/>
      <c r="AU174" s="11"/>
      <c r="AV174" s="11"/>
      <c r="AW174" s="11"/>
      <c r="AX174" s="11"/>
      <c r="AY174" s="11"/>
    </row>
    <row r="175" spans="1:51">
      <c r="A175" s="37" t="s">
        <v>49</v>
      </c>
      <c r="B175" s="38">
        <v>4</v>
      </c>
      <c r="C175" s="37" t="s">
        <v>57</v>
      </c>
      <c r="D175" s="37" t="s">
        <v>5</v>
      </c>
      <c r="E175" s="37" t="s">
        <v>90</v>
      </c>
      <c r="F175" s="37">
        <v>2015</v>
      </c>
      <c r="G175" s="11">
        <v>1890</v>
      </c>
      <c r="H175" s="11">
        <v>753</v>
      </c>
      <c r="I175" s="11">
        <v>1137</v>
      </c>
      <c r="J175" s="11">
        <v>13297</v>
      </c>
      <c r="K175" s="11">
        <v>38</v>
      </c>
      <c r="L175" s="11">
        <v>6</v>
      </c>
      <c r="M175" s="11">
        <v>17</v>
      </c>
      <c r="N175" s="11">
        <v>1260</v>
      </c>
      <c r="O175" s="11">
        <v>48789.089747920065</v>
      </c>
      <c r="P175" s="11">
        <v>893</v>
      </c>
      <c r="Q175" s="11">
        <v>1918</v>
      </c>
      <c r="R175" s="11">
        <v>414</v>
      </c>
      <c r="S175" s="11"/>
      <c r="T175" s="11"/>
      <c r="U175" s="11">
        <v>802</v>
      </c>
      <c r="V175" s="11">
        <v>367</v>
      </c>
      <c r="W175" s="11">
        <v>321</v>
      </c>
      <c r="X175" s="11">
        <v>292</v>
      </c>
      <c r="Y175" s="11">
        <v>1890</v>
      </c>
      <c r="Z175" s="11">
        <v>35958415</v>
      </c>
      <c r="AA175" s="11">
        <v>105</v>
      </c>
      <c r="AB175" s="11">
        <v>311</v>
      </c>
      <c r="AC175" s="11">
        <v>421</v>
      </c>
      <c r="AD175" s="11">
        <v>84</v>
      </c>
      <c r="AE175" s="11"/>
      <c r="AF175" s="11"/>
      <c r="AG175" s="11"/>
      <c r="AH175" s="11">
        <v>292</v>
      </c>
      <c r="AI175" s="11"/>
      <c r="AJ175" s="11"/>
      <c r="AK175" s="11"/>
      <c r="AL175" s="11"/>
      <c r="AM175" s="11"/>
      <c r="AN175" s="11"/>
      <c r="AO175" s="11"/>
      <c r="AP175" s="11"/>
      <c r="AQ175" s="11"/>
      <c r="AR175" s="11"/>
      <c r="AS175" s="11"/>
      <c r="AT175" s="11"/>
      <c r="AU175" s="11"/>
      <c r="AV175" s="11"/>
      <c r="AW175" s="11"/>
      <c r="AX175" s="11"/>
      <c r="AY175" s="11"/>
    </row>
    <row r="176" spans="1:51">
      <c r="A176" s="37" t="s">
        <v>49</v>
      </c>
      <c r="B176" s="38">
        <v>7</v>
      </c>
      <c r="C176" s="37" t="s">
        <v>58</v>
      </c>
      <c r="D176" s="37" t="s">
        <v>6</v>
      </c>
      <c r="E176" s="37" t="s">
        <v>90</v>
      </c>
      <c r="F176" s="37">
        <v>2015</v>
      </c>
      <c r="G176" s="11">
        <v>7432</v>
      </c>
      <c r="H176" s="11">
        <v>2774</v>
      </c>
      <c r="I176" s="11">
        <v>4658</v>
      </c>
      <c r="J176" s="11">
        <v>92580</v>
      </c>
      <c r="K176" s="11">
        <v>148</v>
      </c>
      <c r="L176" s="11">
        <v>19</v>
      </c>
      <c r="M176" s="11">
        <v>42</v>
      </c>
      <c r="N176" s="11">
        <v>5860</v>
      </c>
      <c r="O176" s="11">
        <v>340773.49278888613</v>
      </c>
      <c r="P176" s="11">
        <v>3501</v>
      </c>
      <c r="Q176" s="11">
        <v>7561</v>
      </c>
      <c r="R176" s="11">
        <v>1876</v>
      </c>
      <c r="S176" s="11"/>
      <c r="T176" s="11"/>
      <c r="U176" s="11">
        <v>2882</v>
      </c>
      <c r="V176" s="11">
        <v>1634</v>
      </c>
      <c r="W176" s="11">
        <v>1826</v>
      </c>
      <c r="X176" s="11">
        <v>1714</v>
      </c>
      <c r="Y176" s="11">
        <v>7432</v>
      </c>
      <c r="Z176" s="11">
        <v>139280587</v>
      </c>
      <c r="AA176" s="11">
        <v>431</v>
      </c>
      <c r="AB176" s="11">
        <v>679</v>
      </c>
      <c r="AC176" s="11">
        <v>4628</v>
      </c>
      <c r="AD176" s="11">
        <v>46</v>
      </c>
      <c r="AE176" s="11"/>
      <c r="AF176" s="11"/>
      <c r="AG176" s="11"/>
      <c r="AH176" s="11">
        <v>310</v>
      </c>
      <c r="AI176" s="11"/>
      <c r="AJ176" s="11"/>
      <c r="AK176" s="11"/>
      <c r="AL176" s="11"/>
      <c r="AM176" s="11"/>
      <c r="AN176" s="11"/>
      <c r="AO176" s="11"/>
      <c r="AP176" s="11"/>
      <c r="AQ176" s="11"/>
      <c r="AR176" s="11"/>
      <c r="AS176" s="11"/>
      <c r="AT176" s="11"/>
      <c r="AU176" s="11"/>
      <c r="AV176" s="11"/>
      <c r="AW176" s="11"/>
      <c r="AX176" s="11"/>
      <c r="AY176" s="11"/>
    </row>
    <row r="177" spans="1:51">
      <c r="A177" s="37" t="s">
        <v>49</v>
      </c>
      <c r="B177" s="38">
        <v>8</v>
      </c>
      <c r="C177" s="37" t="s">
        <v>59</v>
      </c>
      <c r="D177" s="37" t="s">
        <v>7</v>
      </c>
      <c r="E177" s="37" t="s">
        <v>90</v>
      </c>
      <c r="F177" s="37">
        <v>2015</v>
      </c>
      <c r="G177" s="11">
        <v>9712</v>
      </c>
      <c r="H177" s="11">
        <v>4125</v>
      </c>
      <c r="I177" s="11">
        <v>5587</v>
      </c>
      <c r="J177" s="11">
        <v>56115</v>
      </c>
      <c r="K177" s="11">
        <v>154</v>
      </c>
      <c r="L177" s="11">
        <v>25</v>
      </c>
      <c r="M177" s="11">
        <v>45</v>
      </c>
      <c r="N177" s="11">
        <v>8331</v>
      </c>
      <c r="O177" s="11">
        <v>202192.57072636313</v>
      </c>
      <c r="P177" s="11">
        <v>4925</v>
      </c>
      <c r="Q177" s="11">
        <v>9728</v>
      </c>
      <c r="R177" s="11">
        <v>2287</v>
      </c>
      <c r="S177" s="11"/>
      <c r="T177" s="11"/>
      <c r="U177" s="11">
        <v>4195</v>
      </c>
      <c r="V177" s="11">
        <v>1992</v>
      </c>
      <c r="W177" s="11">
        <v>1732</v>
      </c>
      <c r="X177" s="11">
        <v>1675</v>
      </c>
      <c r="Y177" s="11">
        <v>9712</v>
      </c>
      <c r="Z177" s="11">
        <v>133276489</v>
      </c>
      <c r="AA177" s="11">
        <v>558</v>
      </c>
      <c r="AB177" s="11">
        <v>917</v>
      </c>
      <c r="AC177" s="11">
        <v>2680</v>
      </c>
      <c r="AD177" s="11">
        <v>356</v>
      </c>
      <c r="AE177" s="11"/>
      <c r="AF177" s="11"/>
      <c r="AG177" s="11"/>
      <c r="AH177" s="11">
        <v>243</v>
      </c>
      <c r="AI177" s="11">
        <v>851</v>
      </c>
      <c r="AJ177" s="11"/>
      <c r="AK177" s="11"/>
      <c r="AL177" s="11"/>
      <c r="AM177" s="11"/>
      <c r="AN177" s="11"/>
      <c r="AO177" s="11"/>
      <c r="AP177" s="11"/>
      <c r="AQ177" s="11"/>
      <c r="AR177" s="11"/>
      <c r="AS177" s="11"/>
      <c r="AT177" s="11"/>
      <c r="AU177" s="11"/>
      <c r="AV177" s="11"/>
      <c r="AW177" s="11"/>
      <c r="AX177" s="11"/>
      <c r="AY177" s="11"/>
    </row>
    <row r="178" spans="1:51">
      <c r="A178" s="37" t="s">
        <v>50</v>
      </c>
      <c r="B178" s="38">
        <v>9</v>
      </c>
      <c r="C178" s="37" t="s">
        <v>84</v>
      </c>
      <c r="D178" s="37" t="s">
        <v>32</v>
      </c>
      <c r="E178" s="37" t="s">
        <v>90</v>
      </c>
      <c r="F178" s="37">
        <v>2015</v>
      </c>
      <c r="G178" s="11">
        <v>44572</v>
      </c>
      <c r="H178" s="11">
        <v>19962</v>
      </c>
      <c r="I178" s="11">
        <v>24610</v>
      </c>
      <c r="J178" s="11">
        <v>149491</v>
      </c>
      <c r="K178" s="11">
        <v>545</v>
      </c>
      <c r="L178" s="11">
        <v>93</v>
      </c>
      <c r="M178" s="11">
        <v>166</v>
      </c>
      <c r="N178" s="11">
        <v>34314</v>
      </c>
      <c r="O178" s="11">
        <v>404322.29056727118</v>
      </c>
      <c r="P178" s="11">
        <v>24975</v>
      </c>
      <c r="Q178" s="11">
        <v>43160</v>
      </c>
      <c r="R178" s="11">
        <v>8536</v>
      </c>
      <c r="S178" s="11"/>
      <c r="T178" s="11"/>
      <c r="U178" s="11">
        <v>17932</v>
      </c>
      <c r="V178" s="11">
        <v>6975</v>
      </c>
      <c r="W178" s="11">
        <v>7626</v>
      </c>
      <c r="X178" s="11">
        <v>5241</v>
      </c>
      <c r="Y178" s="11"/>
      <c r="Z178" s="11"/>
      <c r="AA178" s="11">
        <v>2166</v>
      </c>
      <c r="AB178" s="11">
        <v>3225</v>
      </c>
      <c r="AC178" s="11">
        <v>8979</v>
      </c>
      <c r="AD178" s="11">
        <v>839</v>
      </c>
      <c r="AE178" s="11"/>
      <c r="AF178" s="11"/>
      <c r="AG178" s="11"/>
      <c r="AH178" s="11">
        <v>1770</v>
      </c>
      <c r="AI178" s="11"/>
      <c r="AJ178" s="11"/>
      <c r="AK178" s="11"/>
      <c r="AL178" s="11"/>
      <c r="AM178" s="11"/>
      <c r="AN178" s="11"/>
      <c r="AO178" s="11"/>
      <c r="AP178" s="11"/>
      <c r="AQ178" s="11"/>
      <c r="AR178" s="11"/>
      <c r="AS178" s="11"/>
      <c r="AT178" s="11"/>
      <c r="AU178" s="11"/>
      <c r="AV178" s="11"/>
      <c r="AW178" s="11"/>
      <c r="AX178" s="11"/>
      <c r="AY178" s="11"/>
    </row>
    <row r="179" spans="1:51">
      <c r="A179" s="37" t="s">
        <v>49</v>
      </c>
      <c r="B179" s="38">
        <v>5</v>
      </c>
      <c r="C179" s="37" t="s">
        <v>60</v>
      </c>
      <c r="D179" s="37" t="s">
        <v>31</v>
      </c>
      <c r="E179" s="37" t="s">
        <v>90</v>
      </c>
      <c r="F179" s="37">
        <v>2015</v>
      </c>
      <c r="G179" s="11">
        <v>8924</v>
      </c>
      <c r="H179" s="11">
        <v>4120</v>
      </c>
      <c r="I179" s="11">
        <v>4804</v>
      </c>
      <c r="J179" s="11">
        <v>44444</v>
      </c>
      <c r="K179" s="11">
        <v>126</v>
      </c>
      <c r="L179" s="11">
        <v>24</v>
      </c>
      <c r="M179" s="11">
        <v>43</v>
      </c>
      <c r="N179" s="11">
        <v>7619</v>
      </c>
      <c r="O179" s="11">
        <v>164151.24862727136</v>
      </c>
      <c r="P179" s="11">
        <v>5008</v>
      </c>
      <c r="Q179" s="11">
        <v>7918</v>
      </c>
      <c r="R179" s="11">
        <v>1920</v>
      </c>
      <c r="S179" s="11"/>
      <c r="T179" s="11"/>
      <c r="U179" s="11">
        <v>3210</v>
      </c>
      <c r="V179" s="11">
        <v>1732</v>
      </c>
      <c r="W179" s="11">
        <v>1840</v>
      </c>
      <c r="X179" s="11">
        <v>1795</v>
      </c>
      <c r="Y179" s="11">
        <v>8924</v>
      </c>
      <c r="Z179" s="11">
        <v>130737471</v>
      </c>
      <c r="AA179" s="11">
        <v>423</v>
      </c>
      <c r="AB179" s="11">
        <v>846</v>
      </c>
      <c r="AC179" s="11">
        <v>500</v>
      </c>
      <c r="AD179" s="11">
        <v>42</v>
      </c>
      <c r="AE179" s="11"/>
      <c r="AF179" s="11"/>
      <c r="AG179" s="11"/>
      <c r="AH179" s="11">
        <v>49</v>
      </c>
      <c r="AI179" s="11"/>
      <c r="AJ179" s="11"/>
      <c r="AK179" s="11"/>
      <c r="AL179" s="11"/>
      <c r="AM179" s="11"/>
      <c r="AN179" s="11"/>
      <c r="AO179" s="11"/>
      <c r="AP179" s="11"/>
      <c r="AQ179" s="11"/>
      <c r="AR179" s="11"/>
      <c r="AS179" s="11"/>
      <c r="AT179" s="11"/>
      <c r="AU179" s="11"/>
      <c r="AV179" s="11"/>
      <c r="AW179" s="11"/>
      <c r="AX179" s="11"/>
      <c r="AY179" s="11"/>
    </row>
    <row r="180" spans="1:51">
      <c r="A180" s="37" t="s">
        <v>49</v>
      </c>
      <c r="B180" s="38">
        <v>6</v>
      </c>
      <c r="C180" s="37" t="s">
        <v>61</v>
      </c>
      <c r="D180" s="37" t="s">
        <v>8</v>
      </c>
      <c r="E180" s="37" t="s">
        <v>90</v>
      </c>
      <c r="F180" s="37">
        <v>2015</v>
      </c>
      <c r="G180" s="11">
        <v>1904</v>
      </c>
      <c r="H180" s="11">
        <v>883</v>
      </c>
      <c r="I180" s="11">
        <v>1021</v>
      </c>
      <c r="J180" s="11">
        <v>9679</v>
      </c>
      <c r="K180" s="11">
        <v>41</v>
      </c>
      <c r="L180" s="11">
        <v>5</v>
      </c>
      <c r="M180" s="11">
        <v>10</v>
      </c>
      <c r="N180" s="11">
        <v>1155</v>
      </c>
      <c r="O180" s="11">
        <v>37724.691315219032</v>
      </c>
      <c r="P180" s="11">
        <v>1004</v>
      </c>
      <c r="Q180" s="11">
        <v>1906</v>
      </c>
      <c r="R180" s="11">
        <v>392</v>
      </c>
      <c r="S180" s="11"/>
      <c r="T180" s="11"/>
      <c r="U180" s="11">
        <v>837</v>
      </c>
      <c r="V180" s="11">
        <v>313</v>
      </c>
      <c r="W180" s="11">
        <v>323</v>
      </c>
      <c r="X180" s="11">
        <v>316</v>
      </c>
      <c r="Y180" s="11">
        <v>1904</v>
      </c>
      <c r="Z180" s="11">
        <v>36314796</v>
      </c>
      <c r="AA180" s="11">
        <v>122</v>
      </c>
      <c r="AB180" s="11">
        <v>313</v>
      </c>
      <c r="AC180" s="11">
        <v>578</v>
      </c>
      <c r="AD180" s="11">
        <v>60</v>
      </c>
      <c r="AE180" s="11"/>
      <c r="AF180" s="11"/>
      <c r="AG180" s="11"/>
      <c r="AH180" s="11">
        <v>75</v>
      </c>
      <c r="AI180" s="11"/>
      <c r="AJ180" s="11"/>
      <c r="AK180" s="11"/>
      <c r="AL180" s="11"/>
      <c r="AM180" s="11"/>
      <c r="AN180" s="11"/>
      <c r="AO180" s="11"/>
      <c r="AP180" s="11"/>
      <c r="AQ180" s="11"/>
      <c r="AR180" s="11"/>
      <c r="AS180" s="11"/>
      <c r="AT180" s="11"/>
      <c r="AU180" s="11"/>
      <c r="AV180" s="11"/>
      <c r="AW180" s="11"/>
      <c r="AX180" s="11"/>
      <c r="AY180" s="11"/>
    </row>
    <row r="181" spans="1:51">
      <c r="A181" s="37" t="s">
        <v>49</v>
      </c>
      <c r="B181" s="38">
        <v>10</v>
      </c>
      <c r="C181" s="37" t="s">
        <v>62</v>
      </c>
      <c r="D181" s="37" t="s">
        <v>9</v>
      </c>
      <c r="E181" s="37" t="s">
        <v>90</v>
      </c>
      <c r="F181" s="37">
        <v>2015</v>
      </c>
      <c r="G181" s="11">
        <v>2338</v>
      </c>
      <c r="H181" s="11">
        <v>936</v>
      </c>
      <c r="I181" s="11">
        <v>1402</v>
      </c>
      <c r="J181" s="11">
        <v>28058</v>
      </c>
      <c r="K181" s="11">
        <v>45</v>
      </c>
      <c r="L181" s="11">
        <v>13</v>
      </c>
      <c r="M181" s="11">
        <v>11</v>
      </c>
      <c r="N181" s="11">
        <v>1840</v>
      </c>
      <c r="O181" s="11">
        <v>103820.46888724105</v>
      </c>
      <c r="P181" s="11">
        <v>1091</v>
      </c>
      <c r="Q181" s="11">
        <v>2483</v>
      </c>
      <c r="R181" s="11">
        <v>483</v>
      </c>
      <c r="S181" s="11"/>
      <c r="T181" s="11"/>
      <c r="U181" s="11">
        <v>1103</v>
      </c>
      <c r="V181" s="11">
        <v>435</v>
      </c>
      <c r="W181" s="11">
        <v>423</v>
      </c>
      <c r="X181" s="11">
        <v>299</v>
      </c>
      <c r="Y181" s="11">
        <v>2338</v>
      </c>
      <c r="Z181" s="11">
        <v>35482547</v>
      </c>
      <c r="AA181" s="11">
        <v>159</v>
      </c>
      <c r="AB181" s="11">
        <v>248</v>
      </c>
      <c r="AC181" s="11">
        <v>717</v>
      </c>
      <c r="AD181" s="11">
        <v>166</v>
      </c>
      <c r="AE181" s="11"/>
      <c r="AF181" s="11"/>
      <c r="AG181" s="11"/>
      <c r="AH181" s="11">
        <v>71</v>
      </c>
      <c r="AI181" s="11"/>
      <c r="AJ181" s="11"/>
      <c r="AK181" s="11"/>
      <c r="AL181" s="11"/>
      <c r="AM181" s="11"/>
      <c r="AN181" s="11"/>
      <c r="AO181" s="11"/>
      <c r="AP181" s="11"/>
      <c r="AQ181" s="11"/>
      <c r="AR181" s="11"/>
      <c r="AS181" s="11"/>
      <c r="AT181" s="11"/>
      <c r="AU181" s="11"/>
      <c r="AV181" s="11"/>
      <c r="AW181" s="11"/>
      <c r="AX181" s="11"/>
      <c r="AY181" s="11"/>
    </row>
    <row r="182" spans="1:51">
      <c r="A182" s="37" t="s">
        <v>49</v>
      </c>
      <c r="B182" s="38">
        <v>11</v>
      </c>
      <c r="C182" s="37" t="s">
        <v>63</v>
      </c>
      <c r="D182" s="37" t="s">
        <v>10</v>
      </c>
      <c r="E182" s="37" t="s">
        <v>90</v>
      </c>
      <c r="F182" s="37">
        <v>2015</v>
      </c>
      <c r="G182" s="11">
        <v>17490</v>
      </c>
      <c r="H182" s="11">
        <v>6444</v>
      </c>
      <c r="I182" s="11">
        <v>11046</v>
      </c>
      <c r="J182" s="11">
        <v>99912</v>
      </c>
      <c r="K182" s="11">
        <v>238</v>
      </c>
      <c r="L182" s="11">
        <v>56</v>
      </c>
      <c r="M182" s="11">
        <v>70</v>
      </c>
      <c r="N182" s="11">
        <v>13758</v>
      </c>
      <c r="O182" s="11">
        <v>346948.29293777305</v>
      </c>
      <c r="P182" s="11">
        <v>10759</v>
      </c>
      <c r="Q182" s="11">
        <v>17733</v>
      </c>
      <c r="R182" s="11">
        <v>4552</v>
      </c>
      <c r="S182" s="11"/>
      <c r="T182" s="11"/>
      <c r="U182" s="11">
        <v>6684</v>
      </c>
      <c r="V182" s="11">
        <v>4179</v>
      </c>
      <c r="W182" s="11">
        <v>3874</v>
      </c>
      <c r="X182" s="11">
        <v>3774</v>
      </c>
      <c r="Y182" s="11">
        <v>17490</v>
      </c>
      <c r="Z182" s="11">
        <v>213348943</v>
      </c>
      <c r="AA182" s="11">
        <v>901</v>
      </c>
      <c r="AB182" s="11">
        <v>1959</v>
      </c>
      <c r="AC182" s="11">
        <v>30302</v>
      </c>
      <c r="AD182" s="11">
        <v>765</v>
      </c>
      <c r="AE182" s="11"/>
      <c r="AF182" s="11"/>
      <c r="AG182" s="11"/>
      <c r="AH182" s="11">
        <v>8014</v>
      </c>
      <c r="AI182" s="11">
        <v>9386</v>
      </c>
      <c r="AJ182" s="11"/>
      <c r="AK182" s="11"/>
      <c r="AL182" s="11"/>
      <c r="AM182" s="11"/>
      <c r="AN182" s="11"/>
      <c r="AO182" s="11"/>
      <c r="AP182" s="11"/>
      <c r="AQ182" s="11"/>
      <c r="AR182" s="11"/>
      <c r="AS182" s="11"/>
      <c r="AT182" s="11"/>
      <c r="AU182" s="11"/>
      <c r="AV182" s="11"/>
      <c r="AW182" s="11"/>
      <c r="AX182" s="11"/>
      <c r="AY182" s="11"/>
    </row>
    <row r="183" spans="1:51">
      <c r="A183" s="37" t="s">
        <v>49</v>
      </c>
      <c r="B183" s="38">
        <v>12</v>
      </c>
      <c r="C183" s="37" t="s">
        <v>64</v>
      </c>
      <c r="D183" s="37" t="s">
        <v>11</v>
      </c>
      <c r="E183" s="37" t="s">
        <v>90</v>
      </c>
      <c r="F183" s="37">
        <v>2015</v>
      </c>
      <c r="G183" s="11">
        <v>6612</v>
      </c>
      <c r="H183" s="11">
        <v>2626</v>
      </c>
      <c r="I183" s="11">
        <v>3986</v>
      </c>
      <c r="J183" s="11">
        <v>62910</v>
      </c>
      <c r="K183" s="11">
        <v>123</v>
      </c>
      <c r="L183" s="11">
        <v>24</v>
      </c>
      <c r="M183" s="11">
        <v>42</v>
      </c>
      <c r="N183" s="11">
        <v>5150</v>
      </c>
      <c r="O183" s="11">
        <v>226435.10807310266</v>
      </c>
      <c r="P183" s="11">
        <v>3474</v>
      </c>
      <c r="Q183" s="11">
        <v>6743</v>
      </c>
      <c r="R183" s="11">
        <v>1638</v>
      </c>
      <c r="S183" s="11"/>
      <c r="T183" s="11"/>
      <c r="U183" s="11">
        <v>2844</v>
      </c>
      <c r="V183" s="11">
        <v>1457</v>
      </c>
      <c r="W183" s="11">
        <v>1482</v>
      </c>
      <c r="X183" s="11">
        <v>1088</v>
      </c>
      <c r="Y183" s="11">
        <v>6612</v>
      </c>
      <c r="Z183" s="11">
        <v>116346947</v>
      </c>
      <c r="AA183" s="11">
        <v>307</v>
      </c>
      <c r="AB183" s="11">
        <v>554</v>
      </c>
      <c r="AC183" s="11">
        <v>1571</v>
      </c>
      <c r="AD183" s="11">
        <v>1186</v>
      </c>
      <c r="AE183" s="11"/>
      <c r="AF183" s="11"/>
      <c r="AG183" s="11"/>
      <c r="AH183" s="11">
        <v>1462</v>
      </c>
      <c r="AI183" s="11"/>
      <c r="AJ183" s="11"/>
      <c r="AK183" s="11"/>
      <c r="AL183" s="11"/>
      <c r="AM183" s="11"/>
      <c r="AN183" s="11"/>
      <c r="AO183" s="11"/>
      <c r="AP183" s="11"/>
      <c r="AQ183" s="11"/>
      <c r="AR183" s="11"/>
      <c r="AS183" s="11"/>
      <c r="AT183" s="11"/>
      <c r="AU183" s="11"/>
      <c r="AV183" s="11"/>
      <c r="AW183" s="11"/>
      <c r="AX183" s="11"/>
      <c r="AY183" s="11"/>
    </row>
    <row r="184" spans="1:51">
      <c r="A184" s="37" t="s">
        <v>49</v>
      </c>
      <c r="B184" s="38">
        <v>13</v>
      </c>
      <c r="C184" s="37" t="s">
        <v>65</v>
      </c>
      <c r="D184" s="37" t="s">
        <v>12</v>
      </c>
      <c r="E184" s="37" t="s">
        <v>90</v>
      </c>
      <c r="F184" s="37">
        <v>2015</v>
      </c>
      <c r="G184" s="11">
        <v>3713</v>
      </c>
      <c r="H184" s="11">
        <v>1678</v>
      </c>
      <c r="I184" s="11">
        <v>2035</v>
      </c>
      <c r="J184" s="11">
        <v>52292</v>
      </c>
      <c r="K184" s="11">
        <v>65</v>
      </c>
      <c r="L184" s="11">
        <v>23</v>
      </c>
      <c r="M184" s="11">
        <v>28</v>
      </c>
      <c r="N184" s="11">
        <v>3104</v>
      </c>
      <c r="O184" s="11">
        <v>160411.42558593757</v>
      </c>
      <c r="P184" s="11">
        <v>1972</v>
      </c>
      <c r="Q184" s="11">
        <v>3498</v>
      </c>
      <c r="R184" s="11">
        <v>865</v>
      </c>
      <c r="S184" s="11"/>
      <c r="T184" s="11"/>
      <c r="U184" s="11">
        <v>1523</v>
      </c>
      <c r="V184" s="11">
        <v>691</v>
      </c>
      <c r="W184" s="11">
        <v>754</v>
      </c>
      <c r="X184" s="11">
        <v>745</v>
      </c>
      <c r="Y184" s="11">
        <v>3713</v>
      </c>
      <c r="Z184" s="11">
        <v>55787690</v>
      </c>
      <c r="AA184" s="11">
        <v>220</v>
      </c>
      <c r="AB184" s="11">
        <v>415</v>
      </c>
      <c r="AC184" s="11">
        <v>599</v>
      </c>
      <c r="AD184" s="11">
        <v>287</v>
      </c>
      <c r="AE184" s="11"/>
      <c r="AF184" s="11"/>
      <c r="AG184" s="11"/>
      <c r="AH184" s="11">
        <v>274</v>
      </c>
      <c r="AI184" s="11"/>
      <c r="AJ184" s="11"/>
      <c r="AK184" s="11"/>
      <c r="AL184" s="11"/>
      <c r="AM184" s="11"/>
      <c r="AN184" s="11"/>
      <c r="AO184" s="11"/>
      <c r="AP184" s="11"/>
      <c r="AQ184" s="11"/>
      <c r="AR184" s="11"/>
      <c r="AS184" s="11"/>
      <c r="AT184" s="11"/>
      <c r="AU184" s="11"/>
      <c r="AV184" s="11"/>
      <c r="AW184" s="11"/>
      <c r="AX184" s="11"/>
      <c r="AY184" s="11"/>
    </row>
    <row r="185" spans="1:51">
      <c r="A185" s="37" t="s">
        <v>49</v>
      </c>
      <c r="B185" s="38">
        <v>14</v>
      </c>
      <c r="C185" s="37" t="s">
        <v>66</v>
      </c>
      <c r="D185" s="37" t="s">
        <v>13</v>
      </c>
      <c r="E185" s="37" t="s">
        <v>90</v>
      </c>
      <c r="F185" s="37">
        <v>2015</v>
      </c>
      <c r="G185" s="11">
        <v>14614</v>
      </c>
      <c r="H185" s="11">
        <v>5953</v>
      </c>
      <c r="I185" s="11">
        <v>8661</v>
      </c>
      <c r="J185" s="11">
        <v>134984</v>
      </c>
      <c r="K185" s="11">
        <v>255</v>
      </c>
      <c r="L185" s="11">
        <v>32</v>
      </c>
      <c r="M185" s="11">
        <v>78</v>
      </c>
      <c r="N185" s="11">
        <v>11091</v>
      </c>
      <c r="O185" s="11">
        <v>434574.23822360497</v>
      </c>
      <c r="P185" s="11">
        <v>6291</v>
      </c>
      <c r="Q185" s="11">
        <v>14848</v>
      </c>
      <c r="R185" s="11">
        <v>3414</v>
      </c>
      <c r="S185" s="11"/>
      <c r="T185" s="11"/>
      <c r="U185" s="11">
        <v>5963</v>
      </c>
      <c r="V185" s="11">
        <v>3081</v>
      </c>
      <c r="W185" s="11">
        <v>3107</v>
      </c>
      <c r="X185" s="11">
        <v>2898</v>
      </c>
      <c r="Y185" s="11">
        <v>14614</v>
      </c>
      <c r="Z185" s="11">
        <v>226341467</v>
      </c>
      <c r="AA185" s="11">
        <v>880</v>
      </c>
      <c r="AB185" s="11">
        <v>2137</v>
      </c>
      <c r="AC185" s="11">
        <v>4643</v>
      </c>
      <c r="AD185" s="11">
        <v>606</v>
      </c>
      <c r="AE185" s="11"/>
      <c r="AF185" s="11"/>
      <c r="AG185" s="11"/>
      <c r="AH185" s="11">
        <v>463</v>
      </c>
      <c r="AI185" s="11">
        <v>446</v>
      </c>
      <c r="AJ185" s="11"/>
      <c r="AK185" s="11"/>
      <c r="AL185" s="11"/>
      <c r="AM185" s="11"/>
      <c r="AN185" s="11"/>
      <c r="AO185" s="11"/>
      <c r="AP185" s="11"/>
      <c r="AQ185" s="11"/>
      <c r="AR185" s="11"/>
      <c r="AS185" s="11"/>
      <c r="AT185" s="11"/>
      <c r="AU185" s="11"/>
      <c r="AV185" s="11"/>
      <c r="AW185" s="11"/>
      <c r="AX185" s="11"/>
      <c r="AY185" s="11"/>
    </row>
    <row r="186" spans="1:51">
      <c r="A186" s="37" t="s">
        <v>49</v>
      </c>
      <c r="B186" s="38">
        <v>15</v>
      </c>
      <c r="C186" s="37" t="s">
        <v>67</v>
      </c>
      <c r="D186" s="37" t="s">
        <v>14</v>
      </c>
      <c r="E186" s="37" t="s">
        <v>90</v>
      </c>
      <c r="F186" s="37">
        <v>2015</v>
      </c>
      <c r="G186" s="11">
        <v>47574</v>
      </c>
      <c r="H186" s="11">
        <v>20621</v>
      </c>
      <c r="I186" s="11">
        <v>26953</v>
      </c>
      <c r="J186" s="11">
        <v>278453</v>
      </c>
      <c r="K186" s="11">
        <v>741</v>
      </c>
      <c r="L186" s="11">
        <v>142</v>
      </c>
      <c r="M186" s="11">
        <v>214</v>
      </c>
      <c r="N186" s="11">
        <v>39966</v>
      </c>
      <c r="O186" s="11">
        <v>911712.24742897251</v>
      </c>
      <c r="P186" s="11">
        <v>20736</v>
      </c>
      <c r="Q186" s="11">
        <v>46706</v>
      </c>
      <c r="R186" s="11">
        <v>10258</v>
      </c>
      <c r="S186" s="11"/>
      <c r="T186" s="11"/>
      <c r="U186" s="11">
        <v>19660</v>
      </c>
      <c r="V186" s="11">
        <v>8432</v>
      </c>
      <c r="W186" s="11">
        <v>8724</v>
      </c>
      <c r="X186" s="11">
        <v>7492</v>
      </c>
      <c r="Y186" s="11">
        <v>47574</v>
      </c>
      <c r="Z186" s="11">
        <v>657722639</v>
      </c>
      <c r="AA186" s="11">
        <v>2293</v>
      </c>
      <c r="AB186" s="11">
        <v>3926</v>
      </c>
      <c r="AC186" s="11">
        <v>17410</v>
      </c>
      <c r="AD186" s="11">
        <v>909</v>
      </c>
      <c r="AE186" s="11"/>
      <c r="AF186" s="11"/>
      <c r="AG186" s="11"/>
      <c r="AH186" s="11">
        <v>6308</v>
      </c>
      <c r="AI186" s="11">
        <v>801</v>
      </c>
      <c r="AJ186" s="11"/>
      <c r="AK186" s="11"/>
      <c r="AL186" s="11"/>
      <c r="AM186" s="11"/>
      <c r="AN186" s="11"/>
      <c r="AO186" s="11"/>
      <c r="AP186" s="11"/>
      <c r="AQ186" s="11"/>
      <c r="AR186" s="11"/>
      <c r="AS186" s="11"/>
      <c r="AT186" s="11"/>
      <c r="AU186" s="11"/>
      <c r="AV186" s="11"/>
      <c r="AW186" s="11"/>
      <c r="AX186" s="11"/>
      <c r="AY186" s="11"/>
    </row>
    <row r="187" spans="1:51">
      <c r="A187" s="37" t="s">
        <v>49</v>
      </c>
      <c r="B187" s="38">
        <v>16</v>
      </c>
      <c r="C187" s="37" t="s">
        <v>68</v>
      </c>
      <c r="D187" s="37" t="s">
        <v>30</v>
      </c>
      <c r="E187" s="37" t="s">
        <v>90</v>
      </c>
      <c r="F187" s="37">
        <v>2015</v>
      </c>
      <c r="G187" s="11">
        <v>11182</v>
      </c>
      <c r="H187" s="11">
        <v>4395</v>
      </c>
      <c r="I187" s="11">
        <v>6787</v>
      </c>
      <c r="J187" s="11">
        <v>69610</v>
      </c>
      <c r="K187" s="11">
        <v>226</v>
      </c>
      <c r="L187" s="11">
        <v>41</v>
      </c>
      <c r="M187" s="11">
        <v>63</v>
      </c>
      <c r="N187" s="11">
        <v>8902</v>
      </c>
      <c r="O187" s="11">
        <v>263050.95224898576</v>
      </c>
      <c r="P187" s="11">
        <v>5762</v>
      </c>
      <c r="Q187" s="11">
        <v>11679</v>
      </c>
      <c r="R187" s="11">
        <v>3026</v>
      </c>
      <c r="S187" s="11"/>
      <c r="T187" s="11"/>
      <c r="U187" s="11">
        <v>5099</v>
      </c>
      <c r="V187" s="11">
        <v>2482</v>
      </c>
      <c r="W187" s="11">
        <v>2342</v>
      </c>
      <c r="X187" s="11">
        <v>2059</v>
      </c>
      <c r="Y187" s="11">
        <v>11182</v>
      </c>
      <c r="Z187" s="11">
        <v>180418872</v>
      </c>
      <c r="AA187" s="11">
        <v>466</v>
      </c>
      <c r="AB187" s="11">
        <v>1093</v>
      </c>
      <c r="AC187" s="11">
        <v>1758</v>
      </c>
      <c r="AD187" s="11">
        <v>486</v>
      </c>
      <c r="AE187" s="11"/>
      <c r="AF187" s="11"/>
      <c r="AG187" s="11"/>
      <c r="AH187" s="11">
        <v>5</v>
      </c>
      <c r="AI187" s="11"/>
      <c r="AJ187" s="11"/>
      <c r="AK187" s="11"/>
      <c r="AL187" s="11"/>
      <c r="AM187" s="11"/>
      <c r="AN187" s="11"/>
      <c r="AO187" s="11"/>
      <c r="AP187" s="11"/>
      <c r="AQ187" s="11"/>
      <c r="AR187" s="11"/>
      <c r="AS187" s="11"/>
      <c r="AT187" s="11"/>
      <c r="AU187" s="11"/>
      <c r="AV187" s="11"/>
      <c r="AW187" s="11"/>
      <c r="AX187" s="11"/>
      <c r="AY187" s="11"/>
    </row>
    <row r="188" spans="1:51">
      <c r="A188" s="37" t="s">
        <v>49</v>
      </c>
      <c r="B188" s="38">
        <v>17</v>
      </c>
      <c r="C188" s="37" t="s">
        <v>69</v>
      </c>
      <c r="D188" s="37" t="s">
        <v>15</v>
      </c>
      <c r="E188" s="37" t="s">
        <v>90</v>
      </c>
      <c r="F188" s="37">
        <v>2015</v>
      </c>
      <c r="G188" s="11">
        <v>4599</v>
      </c>
      <c r="H188" s="11">
        <v>1929</v>
      </c>
      <c r="I188" s="11">
        <v>2670</v>
      </c>
      <c r="J188" s="11">
        <v>32523</v>
      </c>
      <c r="K188" s="11">
        <v>68</v>
      </c>
      <c r="L188" s="11">
        <v>19</v>
      </c>
      <c r="M188" s="11">
        <v>13</v>
      </c>
      <c r="N188" s="11">
        <v>3728</v>
      </c>
      <c r="O188" s="11">
        <v>102703.04808293736</v>
      </c>
      <c r="P188" s="11">
        <v>2428</v>
      </c>
      <c r="Q188" s="11">
        <v>4787</v>
      </c>
      <c r="R188" s="11">
        <v>1255</v>
      </c>
      <c r="S188" s="11"/>
      <c r="T188" s="11"/>
      <c r="U188" s="11">
        <v>2002</v>
      </c>
      <c r="V188" s="11">
        <v>1130</v>
      </c>
      <c r="W188" s="11">
        <v>1119</v>
      </c>
      <c r="X188" s="11">
        <v>1008</v>
      </c>
      <c r="Y188" s="11">
        <v>4599</v>
      </c>
      <c r="Z188" s="11">
        <v>61327462</v>
      </c>
      <c r="AA188" s="11">
        <v>245</v>
      </c>
      <c r="AB188" s="11">
        <v>592</v>
      </c>
      <c r="AC188" s="11">
        <v>3377</v>
      </c>
      <c r="AD188" s="11">
        <v>512</v>
      </c>
      <c r="AE188" s="11"/>
      <c r="AF188" s="11"/>
      <c r="AG188" s="11"/>
      <c r="AH188" s="11">
        <v>1995</v>
      </c>
      <c r="AI188" s="11"/>
      <c r="AJ188" s="11"/>
      <c r="AK188" s="11"/>
      <c r="AL188" s="11"/>
      <c r="AM188" s="11"/>
      <c r="AN188" s="11"/>
      <c r="AO188" s="11"/>
      <c r="AP188" s="11"/>
      <c r="AQ188" s="11"/>
      <c r="AR188" s="11"/>
      <c r="AS188" s="11"/>
      <c r="AT188" s="11"/>
      <c r="AU188" s="11"/>
      <c r="AV188" s="11"/>
      <c r="AW188" s="11"/>
      <c r="AX188" s="11"/>
      <c r="AY188" s="11"/>
    </row>
    <row r="189" spans="1:51">
      <c r="A189" s="37" t="s">
        <v>49</v>
      </c>
      <c r="B189" s="38">
        <v>18</v>
      </c>
      <c r="C189" s="37" t="s">
        <v>70</v>
      </c>
      <c r="D189" s="37" t="s">
        <v>16</v>
      </c>
      <c r="E189" s="37" t="s">
        <v>90</v>
      </c>
      <c r="F189" s="37">
        <v>2015</v>
      </c>
      <c r="G189" s="11">
        <v>3019</v>
      </c>
      <c r="H189" s="11">
        <v>1264</v>
      </c>
      <c r="I189" s="11">
        <v>1755</v>
      </c>
      <c r="J189" s="11">
        <v>20436</v>
      </c>
      <c r="K189" s="11">
        <v>54</v>
      </c>
      <c r="L189" s="11">
        <v>8</v>
      </c>
      <c r="M189" s="11">
        <v>9</v>
      </c>
      <c r="N189" s="11">
        <v>2603</v>
      </c>
      <c r="O189" s="11">
        <v>66019.247600487812</v>
      </c>
      <c r="P189" s="11">
        <v>1486</v>
      </c>
      <c r="Q189" s="11">
        <v>2901</v>
      </c>
      <c r="R189" s="11">
        <v>683</v>
      </c>
      <c r="S189" s="11"/>
      <c r="T189" s="11"/>
      <c r="U189" s="11">
        <v>1267</v>
      </c>
      <c r="V189" s="11">
        <v>620</v>
      </c>
      <c r="W189" s="11">
        <v>587</v>
      </c>
      <c r="X189" s="11">
        <v>579</v>
      </c>
      <c r="Y189" s="11">
        <v>3019</v>
      </c>
      <c r="Z189" s="11">
        <v>45890293</v>
      </c>
      <c r="AA189" s="11">
        <v>124</v>
      </c>
      <c r="AB189" s="11">
        <v>399</v>
      </c>
      <c r="AC189" s="11">
        <v>289</v>
      </c>
      <c r="AD189" s="11">
        <v>70</v>
      </c>
      <c r="AE189" s="11"/>
      <c r="AF189" s="11"/>
      <c r="AG189" s="11"/>
      <c r="AH189" s="11">
        <v>0</v>
      </c>
      <c r="AI189" s="11"/>
      <c r="AJ189" s="11"/>
      <c r="AK189" s="11"/>
      <c r="AL189" s="11"/>
      <c r="AM189" s="11"/>
      <c r="AN189" s="11"/>
      <c r="AO189" s="11"/>
      <c r="AP189" s="11"/>
      <c r="AQ189" s="11"/>
      <c r="AR189" s="11"/>
      <c r="AS189" s="11"/>
      <c r="AT189" s="11"/>
      <c r="AU189" s="11"/>
      <c r="AV189" s="11"/>
      <c r="AW189" s="11"/>
      <c r="AX189" s="11"/>
      <c r="AY189" s="11"/>
    </row>
    <row r="190" spans="1:51">
      <c r="A190" s="37" t="s">
        <v>49</v>
      </c>
      <c r="B190" s="38">
        <v>19</v>
      </c>
      <c r="C190" s="37" t="s">
        <v>71</v>
      </c>
      <c r="D190" s="37" t="s">
        <v>17</v>
      </c>
      <c r="E190" s="37" t="s">
        <v>90</v>
      </c>
      <c r="F190" s="37">
        <v>2015</v>
      </c>
      <c r="G190" s="11">
        <v>18667</v>
      </c>
      <c r="H190" s="11">
        <v>8223</v>
      </c>
      <c r="I190" s="11">
        <v>10444</v>
      </c>
      <c r="J190" s="11">
        <v>83352</v>
      </c>
      <c r="K190" s="11">
        <v>250</v>
      </c>
      <c r="L190" s="11">
        <v>52</v>
      </c>
      <c r="M190" s="11">
        <v>80</v>
      </c>
      <c r="N190" s="11">
        <v>14736</v>
      </c>
      <c r="O190" s="11">
        <v>262574.27570966166</v>
      </c>
      <c r="P190" s="11">
        <v>11124</v>
      </c>
      <c r="Q190" s="11">
        <v>17771</v>
      </c>
      <c r="R190" s="11">
        <v>4210</v>
      </c>
      <c r="S190" s="11"/>
      <c r="T190" s="11"/>
      <c r="U190" s="11">
        <v>7296</v>
      </c>
      <c r="V190" s="11">
        <v>3797</v>
      </c>
      <c r="W190" s="11">
        <v>3522</v>
      </c>
      <c r="X190" s="11">
        <v>3440</v>
      </c>
      <c r="Y190" s="11">
        <v>18667</v>
      </c>
      <c r="Z190" s="11">
        <v>190850231</v>
      </c>
      <c r="AA190" s="11">
        <v>897</v>
      </c>
      <c r="AB190" s="11">
        <v>1734</v>
      </c>
      <c r="AC190" s="11">
        <v>32438</v>
      </c>
      <c r="AD190" s="11">
        <v>1969</v>
      </c>
      <c r="AE190" s="11"/>
      <c r="AF190" s="11"/>
      <c r="AG190" s="11"/>
      <c r="AH190" s="11">
        <v>35553</v>
      </c>
      <c r="AI190" s="11">
        <v>1193</v>
      </c>
      <c r="AJ190" s="11"/>
      <c r="AK190" s="11"/>
      <c r="AL190" s="11"/>
      <c r="AM190" s="11"/>
      <c r="AN190" s="11"/>
      <c r="AO190" s="11"/>
      <c r="AP190" s="11"/>
      <c r="AQ190" s="11"/>
      <c r="AR190" s="11"/>
      <c r="AS190" s="11"/>
      <c r="AT190" s="11"/>
      <c r="AU190" s="11"/>
      <c r="AV190" s="11"/>
      <c r="AW190" s="11"/>
      <c r="AX190" s="11"/>
      <c r="AY190" s="11"/>
    </row>
    <row r="191" spans="1:51">
      <c r="A191" s="37" t="s">
        <v>50</v>
      </c>
      <c r="B191" s="38">
        <v>20</v>
      </c>
      <c r="C191" s="37" t="s">
        <v>85</v>
      </c>
      <c r="D191" s="37" t="s">
        <v>28</v>
      </c>
      <c r="E191" s="37" t="s">
        <v>90</v>
      </c>
      <c r="F191" s="37">
        <v>2015</v>
      </c>
      <c r="G191" s="11">
        <v>6301</v>
      </c>
      <c r="H191" s="11">
        <v>2568</v>
      </c>
      <c r="I191" s="11">
        <v>3733</v>
      </c>
      <c r="J191" s="11">
        <v>64304</v>
      </c>
      <c r="K191" s="11">
        <v>107</v>
      </c>
      <c r="L191" s="11">
        <v>12</v>
      </c>
      <c r="M191" s="11">
        <v>33</v>
      </c>
      <c r="N191" s="11">
        <v>5010</v>
      </c>
      <c r="O191" s="11">
        <v>241009.03331680052</v>
      </c>
      <c r="P191" s="11">
        <v>3238</v>
      </c>
      <c r="Q191" s="11">
        <v>6254</v>
      </c>
      <c r="R191" s="11">
        <v>1508</v>
      </c>
      <c r="S191" s="11"/>
      <c r="T191" s="11"/>
      <c r="U191" s="11">
        <v>2691</v>
      </c>
      <c r="V191" s="11">
        <v>1316</v>
      </c>
      <c r="W191" s="11">
        <v>1369</v>
      </c>
      <c r="X191" s="11">
        <v>890</v>
      </c>
      <c r="Y191" s="11"/>
      <c r="Z191" s="11"/>
      <c r="AA191" s="11">
        <v>366</v>
      </c>
      <c r="AB191" s="11">
        <v>530</v>
      </c>
      <c r="AC191" s="11">
        <v>2327</v>
      </c>
      <c r="AD191" s="11">
        <v>35</v>
      </c>
      <c r="AE191" s="11"/>
      <c r="AF191" s="11"/>
      <c r="AG191" s="11"/>
      <c r="AH191" s="11">
        <v>602</v>
      </c>
      <c r="AI191" s="11"/>
      <c r="AJ191" s="11"/>
      <c r="AK191" s="11"/>
      <c r="AL191" s="11"/>
      <c r="AM191" s="11"/>
      <c r="AN191" s="11"/>
      <c r="AO191" s="11"/>
      <c r="AP191" s="11"/>
      <c r="AQ191" s="11"/>
      <c r="AR191" s="11"/>
      <c r="AS191" s="11"/>
      <c r="AT191" s="11"/>
      <c r="AU191" s="11"/>
      <c r="AV191" s="11"/>
      <c r="AW191" s="11"/>
      <c r="AX191" s="11"/>
      <c r="AY191" s="11"/>
    </row>
    <row r="192" spans="1:51">
      <c r="A192" s="37" t="s">
        <v>49</v>
      </c>
      <c r="B192" s="38">
        <v>21</v>
      </c>
      <c r="C192" s="37" t="s">
        <v>72</v>
      </c>
      <c r="D192" s="37" t="s">
        <v>18</v>
      </c>
      <c r="E192" s="37" t="s">
        <v>90</v>
      </c>
      <c r="F192" s="37">
        <v>2015</v>
      </c>
      <c r="G192" s="11">
        <v>7128</v>
      </c>
      <c r="H192" s="11">
        <v>2822</v>
      </c>
      <c r="I192" s="11">
        <v>4306</v>
      </c>
      <c r="J192" s="11">
        <v>109274</v>
      </c>
      <c r="K192" s="11">
        <v>144</v>
      </c>
      <c r="L192" s="11">
        <v>36</v>
      </c>
      <c r="M192" s="11">
        <v>56</v>
      </c>
      <c r="N192" s="11">
        <v>5868</v>
      </c>
      <c r="O192" s="11">
        <v>367000.54615377309</v>
      </c>
      <c r="P192" s="11">
        <v>3986</v>
      </c>
      <c r="Q192" s="11">
        <v>7170</v>
      </c>
      <c r="R192" s="11">
        <v>1873</v>
      </c>
      <c r="S192" s="11"/>
      <c r="T192" s="11"/>
      <c r="U192" s="11">
        <v>2816</v>
      </c>
      <c r="V192" s="11">
        <v>1602</v>
      </c>
      <c r="W192" s="11">
        <v>1712</v>
      </c>
      <c r="X192" s="11">
        <v>1639</v>
      </c>
      <c r="Y192" s="11">
        <v>7128</v>
      </c>
      <c r="Z192" s="11">
        <v>130865900</v>
      </c>
      <c r="AA192" s="11">
        <v>402</v>
      </c>
      <c r="AB192" s="11">
        <v>898</v>
      </c>
      <c r="AC192" s="11">
        <v>2966</v>
      </c>
      <c r="AD192" s="11">
        <v>173</v>
      </c>
      <c r="AE192" s="11"/>
      <c r="AF192" s="11"/>
      <c r="AG192" s="11"/>
      <c r="AH192" s="11">
        <v>3057</v>
      </c>
      <c r="AI192" s="11"/>
      <c r="AJ192" s="11"/>
      <c r="AK192" s="11"/>
      <c r="AL192" s="11"/>
      <c r="AM192" s="11"/>
      <c r="AN192" s="11"/>
      <c r="AO192" s="11"/>
      <c r="AP192" s="11"/>
      <c r="AQ192" s="11"/>
      <c r="AR192" s="11"/>
      <c r="AS192" s="11"/>
      <c r="AT192" s="11"/>
      <c r="AU192" s="11"/>
      <c r="AV192" s="11"/>
      <c r="AW192" s="11"/>
      <c r="AX192" s="11"/>
      <c r="AY192" s="11"/>
    </row>
    <row r="193" spans="1:51">
      <c r="A193" s="37" t="s">
        <v>49</v>
      </c>
      <c r="B193" s="38">
        <v>22</v>
      </c>
      <c r="C193" s="37" t="s">
        <v>73</v>
      </c>
      <c r="D193" s="37" t="s">
        <v>29</v>
      </c>
      <c r="E193" s="37" t="s">
        <v>90</v>
      </c>
      <c r="F193" s="37">
        <v>2015</v>
      </c>
      <c r="G193" s="11">
        <v>3482</v>
      </c>
      <c r="H193" s="11">
        <v>1374</v>
      </c>
      <c r="I193" s="11">
        <v>2108</v>
      </c>
      <c r="J193" s="11">
        <v>32682</v>
      </c>
      <c r="K193" s="11">
        <v>55</v>
      </c>
      <c r="L193" s="11">
        <v>13</v>
      </c>
      <c r="M193" s="11">
        <v>29</v>
      </c>
      <c r="N193" s="11">
        <v>2775</v>
      </c>
      <c r="O193" s="11">
        <v>113446.37951932651</v>
      </c>
      <c r="P193" s="11">
        <v>2270</v>
      </c>
      <c r="Q193" s="11">
        <v>3442</v>
      </c>
      <c r="R193" s="11">
        <v>768</v>
      </c>
      <c r="S193" s="11"/>
      <c r="T193" s="11"/>
      <c r="U193" s="11">
        <v>1219</v>
      </c>
      <c r="V193" s="11">
        <v>715</v>
      </c>
      <c r="W193" s="11">
        <v>716</v>
      </c>
      <c r="X193" s="11">
        <v>646</v>
      </c>
      <c r="Y193" s="11">
        <v>3482</v>
      </c>
      <c r="Z193" s="11">
        <v>40331193</v>
      </c>
      <c r="AA193" s="11">
        <v>267</v>
      </c>
      <c r="AB193" s="11">
        <v>357</v>
      </c>
      <c r="AC193" s="11">
        <v>297</v>
      </c>
      <c r="AD193" s="11">
        <v>49</v>
      </c>
      <c r="AE193" s="11"/>
      <c r="AF193" s="11"/>
      <c r="AG193" s="11"/>
      <c r="AH193" s="11">
        <v>47</v>
      </c>
      <c r="AI193" s="11"/>
      <c r="AJ193" s="11"/>
      <c r="AK193" s="11"/>
      <c r="AL193" s="11"/>
      <c r="AM193" s="11"/>
      <c r="AN193" s="11"/>
      <c r="AO193" s="11"/>
      <c r="AP193" s="11"/>
      <c r="AQ193" s="11"/>
      <c r="AR193" s="11"/>
      <c r="AS193" s="11"/>
      <c r="AT193" s="11"/>
      <c r="AU193" s="11"/>
      <c r="AV193" s="11"/>
      <c r="AW193" s="11"/>
      <c r="AX193" s="11"/>
      <c r="AY193" s="11"/>
    </row>
    <row r="194" spans="1:51">
      <c r="A194" s="37" t="s">
        <v>49</v>
      </c>
      <c r="B194" s="38">
        <v>23</v>
      </c>
      <c r="C194" s="37" t="s">
        <v>74</v>
      </c>
      <c r="D194" s="37" t="s">
        <v>19</v>
      </c>
      <c r="E194" s="37" t="s">
        <v>90</v>
      </c>
      <c r="F194" s="37">
        <v>2015</v>
      </c>
      <c r="G194" s="11">
        <v>8052</v>
      </c>
      <c r="H194" s="11">
        <v>3286</v>
      </c>
      <c r="I194" s="11">
        <v>4766</v>
      </c>
      <c r="J194" s="11">
        <v>21186</v>
      </c>
      <c r="K194" s="11">
        <v>104</v>
      </c>
      <c r="L194" s="11">
        <v>18</v>
      </c>
      <c r="M194" s="11">
        <v>29</v>
      </c>
      <c r="N194" s="11">
        <v>6335</v>
      </c>
      <c r="O194" s="11">
        <v>82157.314791918063</v>
      </c>
      <c r="P194" s="11">
        <v>3800</v>
      </c>
      <c r="Q194" s="11">
        <v>8119</v>
      </c>
      <c r="R194" s="11">
        <v>2352</v>
      </c>
      <c r="S194" s="11"/>
      <c r="T194" s="11"/>
      <c r="U194" s="11">
        <v>3687</v>
      </c>
      <c r="V194" s="11">
        <v>2146</v>
      </c>
      <c r="W194" s="11">
        <v>1843</v>
      </c>
      <c r="X194" s="11">
        <v>1734</v>
      </c>
      <c r="Y194" s="11">
        <v>8052</v>
      </c>
      <c r="Z194" s="11">
        <v>87582707</v>
      </c>
      <c r="AA194" s="11">
        <v>405</v>
      </c>
      <c r="AB194" s="11">
        <v>751</v>
      </c>
      <c r="AC194" s="11">
        <v>140</v>
      </c>
      <c r="AD194" s="11">
        <v>56</v>
      </c>
      <c r="AE194" s="11"/>
      <c r="AF194" s="11"/>
      <c r="AG194" s="11"/>
      <c r="AH194" s="11">
        <v>257</v>
      </c>
      <c r="AI194" s="11"/>
      <c r="AJ194" s="11"/>
      <c r="AK194" s="11"/>
      <c r="AL194" s="11"/>
      <c r="AM194" s="11"/>
      <c r="AN194" s="11"/>
      <c r="AO194" s="11"/>
      <c r="AP194" s="11"/>
      <c r="AQ194" s="11"/>
      <c r="AR194" s="11"/>
      <c r="AS194" s="11"/>
      <c r="AT194" s="11"/>
      <c r="AU194" s="11"/>
      <c r="AV194" s="11"/>
      <c r="AW194" s="11"/>
      <c r="AX194" s="11"/>
      <c r="AY194" s="11"/>
    </row>
    <row r="195" spans="1:51">
      <c r="A195" s="37" t="s">
        <v>49</v>
      </c>
      <c r="B195" s="38">
        <v>24</v>
      </c>
      <c r="C195" s="37" t="s">
        <v>75</v>
      </c>
      <c r="D195" s="37" t="s">
        <v>20</v>
      </c>
      <c r="E195" s="37" t="s">
        <v>90</v>
      </c>
      <c r="F195" s="37">
        <v>2015</v>
      </c>
      <c r="G195" s="11">
        <v>5220</v>
      </c>
      <c r="H195" s="11">
        <v>2258</v>
      </c>
      <c r="I195" s="11">
        <v>2962</v>
      </c>
      <c r="J195" s="11">
        <v>48979</v>
      </c>
      <c r="K195" s="11">
        <v>85</v>
      </c>
      <c r="L195" s="11">
        <v>25</v>
      </c>
      <c r="M195" s="11">
        <v>28</v>
      </c>
      <c r="N195" s="11">
        <v>4052</v>
      </c>
      <c r="O195" s="11">
        <v>161315.89873923562</v>
      </c>
      <c r="P195" s="11">
        <v>2783</v>
      </c>
      <c r="Q195" s="11">
        <v>5248</v>
      </c>
      <c r="R195" s="11">
        <v>1240</v>
      </c>
      <c r="S195" s="11"/>
      <c r="T195" s="11"/>
      <c r="U195" s="11">
        <v>2196</v>
      </c>
      <c r="V195" s="11">
        <v>1065</v>
      </c>
      <c r="W195" s="11">
        <v>1075</v>
      </c>
      <c r="X195" s="11">
        <v>1011</v>
      </c>
      <c r="Y195" s="11">
        <v>5220</v>
      </c>
      <c r="Z195" s="11">
        <v>76597325</v>
      </c>
      <c r="AA195" s="11">
        <v>319</v>
      </c>
      <c r="AB195" s="11">
        <v>353</v>
      </c>
      <c r="AC195" s="11">
        <v>2880</v>
      </c>
      <c r="AD195" s="11">
        <v>198</v>
      </c>
      <c r="AE195" s="11"/>
      <c r="AF195" s="11"/>
      <c r="AG195" s="11"/>
      <c r="AH195" s="11">
        <v>247</v>
      </c>
      <c r="AI195" s="11"/>
      <c r="AJ195" s="11"/>
      <c r="AK195" s="11"/>
      <c r="AL195" s="11"/>
      <c r="AM195" s="11"/>
      <c r="AN195" s="11"/>
      <c r="AO195" s="11"/>
      <c r="AP195" s="11"/>
      <c r="AQ195" s="11"/>
      <c r="AR195" s="11"/>
      <c r="AS195" s="11"/>
      <c r="AT195" s="11"/>
      <c r="AU195" s="11"/>
      <c r="AV195" s="11"/>
      <c r="AW195" s="11"/>
      <c r="AX195" s="11"/>
      <c r="AY195" s="11"/>
    </row>
    <row r="196" spans="1:51">
      <c r="A196" s="37" t="s">
        <v>49</v>
      </c>
      <c r="B196" s="38">
        <v>25</v>
      </c>
      <c r="C196" s="37" t="s">
        <v>76</v>
      </c>
      <c r="D196" s="37" t="s">
        <v>21</v>
      </c>
      <c r="E196" s="37" t="s">
        <v>90</v>
      </c>
      <c r="F196" s="37">
        <v>2015</v>
      </c>
      <c r="G196" s="11">
        <v>8506</v>
      </c>
      <c r="H196" s="11">
        <v>3326</v>
      </c>
      <c r="I196" s="11">
        <v>5180</v>
      </c>
      <c r="J196" s="11">
        <v>47206</v>
      </c>
      <c r="K196" s="11">
        <v>183</v>
      </c>
      <c r="L196" s="11">
        <v>51</v>
      </c>
      <c r="M196" s="11">
        <v>52</v>
      </c>
      <c r="N196" s="11">
        <v>7159</v>
      </c>
      <c r="O196" s="11">
        <v>165717.12517568539</v>
      </c>
      <c r="P196" s="11">
        <v>3838</v>
      </c>
      <c r="Q196" s="11">
        <v>8710</v>
      </c>
      <c r="R196" s="11">
        <v>2473</v>
      </c>
      <c r="S196" s="11"/>
      <c r="T196" s="11"/>
      <c r="U196" s="11">
        <v>3935</v>
      </c>
      <c r="V196" s="11">
        <v>2267</v>
      </c>
      <c r="W196" s="11">
        <v>2199</v>
      </c>
      <c r="X196" s="11">
        <v>2168</v>
      </c>
      <c r="Y196" s="11">
        <v>8506</v>
      </c>
      <c r="Z196" s="11">
        <v>194265438</v>
      </c>
      <c r="AA196" s="11">
        <v>561</v>
      </c>
      <c r="AB196" s="11">
        <v>941</v>
      </c>
      <c r="AC196" s="11">
        <v>774</v>
      </c>
      <c r="AD196" s="11">
        <v>72</v>
      </c>
      <c r="AE196" s="11"/>
      <c r="AF196" s="11"/>
      <c r="AG196" s="11"/>
      <c r="AH196" s="11">
        <v>68</v>
      </c>
      <c r="AI196" s="11"/>
      <c r="AJ196" s="11"/>
      <c r="AK196" s="11"/>
      <c r="AL196" s="11"/>
      <c r="AM196" s="11"/>
      <c r="AN196" s="11"/>
      <c r="AO196" s="11"/>
      <c r="AP196" s="11"/>
      <c r="AQ196" s="11"/>
      <c r="AR196" s="11"/>
      <c r="AS196" s="11"/>
      <c r="AT196" s="11"/>
      <c r="AU196" s="11"/>
      <c r="AV196" s="11"/>
      <c r="AW196" s="11"/>
      <c r="AX196" s="11"/>
      <c r="AY196" s="11"/>
    </row>
    <row r="197" spans="1:51">
      <c r="A197" s="37" t="s">
        <v>49</v>
      </c>
      <c r="B197" s="38">
        <v>26</v>
      </c>
      <c r="C197" s="37" t="s">
        <v>77</v>
      </c>
      <c r="D197" s="37" t="s">
        <v>22</v>
      </c>
      <c r="E197" s="37" t="s">
        <v>90</v>
      </c>
      <c r="F197" s="37">
        <v>2015</v>
      </c>
      <c r="G197" s="11">
        <v>14044</v>
      </c>
      <c r="H197" s="11">
        <v>6199</v>
      </c>
      <c r="I197" s="11">
        <v>7845</v>
      </c>
      <c r="J197" s="11">
        <v>47330</v>
      </c>
      <c r="K197" s="11">
        <v>243</v>
      </c>
      <c r="L197" s="11">
        <v>36</v>
      </c>
      <c r="M197" s="11">
        <v>47</v>
      </c>
      <c r="N197" s="11">
        <v>11328</v>
      </c>
      <c r="O197" s="11">
        <v>158624.9306182384</v>
      </c>
      <c r="P197" s="11">
        <v>6300</v>
      </c>
      <c r="Q197" s="11">
        <v>13206</v>
      </c>
      <c r="R197" s="11">
        <v>2641</v>
      </c>
      <c r="S197" s="11"/>
      <c r="T197" s="11"/>
      <c r="U197" s="11">
        <v>5124</v>
      </c>
      <c r="V197" s="11">
        <v>2143</v>
      </c>
      <c r="W197" s="11">
        <v>2409</v>
      </c>
      <c r="X197" s="11">
        <v>2041</v>
      </c>
      <c r="Y197" s="11">
        <v>14044</v>
      </c>
      <c r="Z197" s="11">
        <v>196627762</v>
      </c>
      <c r="AA197" s="11">
        <v>534</v>
      </c>
      <c r="AB197" s="11">
        <v>1019</v>
      </c>
      <c r="AC197" s="11">
        <v>5816</v>
      </c>
      <c r="AD197" s="11">
        <v>243</v>
      </c>
      <c r="AE197" s="11"/>
      <c r="AF197" s="11"/>
      <c r="AG197" s="11"/>
      <c r="AH197" s="11">
        <v>103</v>
      </c>
      <c r="AI197" s="11"/>
      <c r="AJ197" s="11"/>
      <c r="AK197" s="11"/>
      <c r="AL197" s="11"/>
      <c r="AM197" s="11"/>
      <c r="AN197" s="11"/>
      <c r="AO197" s="11"/>
      <c r="AP197" s="11"/>
      <c r="AQ197" s="11"/>
      <c r="AR197" s="11"/>
      <c r="AS197" s="11"/>
      <c r="AT197" s="11"/>
      <c r="AU197" s="11"/>
      <c r="AV197" s="11"/>
      <c r="AW197" s="11"/>
      <c r="AX197" s="11"/>
      <c r="AY197" s="11"/>
    </row>
    <row r="198" spans="1:51">
      <c r="A198" s="37" t="s">
        <v>49</v>
      </c>
      <c r="B198" s="38">
        <v>27</v>
      </c>
      <c r="C198" s="37" t="s">
        <v>78</v>
      </c>
      <c r="D198" s="37" t="s">
        <v>23</v>
      </c>
      <c r="E198" s="37" t="s">
        <v>90</v>
      </c>
      <c r="F198" s="37">
        <v>2015</v>
      </c>
      <c r="G198" s="11">
        <v>5739</v>
      </c>
      <c r="H198" s="11">
        <v>2280</v>
      </c>
      <c r="I198" s="11">
        <v>3459</v>
      </c>
      <c r="J198" s="11">
        <v>42849</v>
      </c>
      <c r="K198" s="11">
        <v>76</v>
      </c>
      <c r="L198" s="11">
        <v>22</v>
      </c>
      <c r="M198" s="11">
        <v>25</v>
      </c>
      <c r="N198" s="11">
        <v>4780</v>
      </c>
      <c r="O198" s="11">
        <v>134263.10997582137</v>
      </c>
      <c r="P198" s="11"/>
      <c r="Q198" s="11">
        <v>5650</v>
      </c>
      <c r="R198" s="11">
        <v>1475</v>
      </c>
      <c r="S198" s="11"/>
      <c r="T198" s="11"/>
      <c r="U198" s="11">
        <v>2213</v>
      </c>
      <c r="V198" s="11">
        <v>1319</v>
      </c>
      <c r="W198" s="11">
        <v>1082</v>
      </c>
      <c r="X198" s="11">
        <v>1055</v>
      </c>
      <c r="Y198" s="11">
        <v>5739</v>
      </c>
      <c r="Z198" s="11">
        <v>97447789</v>
      </c>
      <c r="AA198" s="11">
        <v>295</v>
      </c>
      <c r="AB198" s="11">
        <v>497</v>
      </c>
      <c r="AC198" s="11">
        <v>682</v>
      </c>
      <c r="AD198" s="11">
        <v>0</v>
      </c>
      <c r="AE198" s="11"/>
      <c r="AF198" s="11"/>
      <c r="AG198" s="11"/>
      <c r="AH198" s="11">
        <v>221</v>
      </c>
      <c r="AI198" s="11"/>
      <c r="AJ198" s="11"/>
      <c r="AK198" s="11"/>
      <c r="AL198" s="11"/>
      <c r="AM198" s="11"/>
      <c r="AN198" s="11"/>
      <c r="AO198" s="11"/>
      <c r="AP198" s="11"/>
      <c r="AQ198" s="11"/>
      <c r="AR198" s="11"/>
      <c r="AS198" s="11"/>
      <c r="AT198" s="11"/>
      <c r="AU198" s="11"/>
      <c r="AV198" s="11"/>
      <c r="AW198" s="11"/>
      <c r="AX198" s="11"/>
      <c r="AY198" s="11"/>
    </row>
    <row r="199" spans="1:51">
      <c r="A199" s="37" t="s">
        <v>49</v>
      </c>
      <c r="B199" s="38">
        <v>28</v>
      </c>
      <c r="C199" s="37" t="s">
        <v>79</v>
      </c>
      <c r="D199" s="37" t="s">
        <v>24</v>
      </c>
      <c r="E199" s="37" t="s">
        <v>90</v>
      </c>
      <c r="F199" s="37">
        <v>2015</v>
      </c>
      <c r="G199" s="11">
        <v>9004</v>
      </c>
      <c r="H199" s="11">
        <v>3517</v>
      </c>
      <c r="I199" s="11">
        <v>5487</v>
      </c>
      <c r="J199" s="11">
        <v>53858</v>
      </c>
      <c r="K199" s="11">
        <v>147</v>
      </c>
      <c r="L199" s="11">
        <v>22</v>
      </c>
      <c r="M199" s="11">
        <v>49</v>
      </c>
      <c r="N199" s="11">
        <v>7552</v>
      </c>
      <c r="O199" s="11">
        <v>187329.31487792477</v>
      </c>
      <c r="P199" s="11">
        <v>3948</v>
      </c>
      <c r="Q199" s="11">
        <v>9281</v>
      </c>
      <c r="R199" s="11">
        <v>2277</v>
      </c>
      <c r="S199" s="11"/>
      <c r="T199" s="11"/>
      <c r="U199" s="11">
        <v>4147</v>
      </c>
      <c r="V199" s="11">
        <v>2058</v>
      </c>
      <c r="W199" s="11">
        <v>1728</v>
      </c>
      <c r="X199" s="11">
        <v>1542</v>
      </c>
      <c r="Y199" s="11">
        <v>9004</v>
      </c>
      <c r="Z199" s="11">
        <v>151650427</v>
      </c>
      <c r="AA199" s="11">
        <v>402</v>
      </c>
      <c r="AB199" s="11">
        <v>955</v>
      </c>
      <c r="AC199" s="11">
        <v>5910</v>
      </c>
      <c r="AD199" s="11">
        <v>12</v>
      </c>
      <c r="AE199" s="11"/>
      <c r="AF199" s="11"/>
      <c r="AG199" s="11"/>
      <c r="AH199" s="11">
        <v>82</v>
      </c>
      <c r="AI199" s="11">
        <v>218</v>
      </c>
      <c r="AJ199" s="11"/>
      <c r="AK199" s="11"/>
      <c r="AL199" s="11"/>
      <c r="AM199" s="11"/>
      <c r="AN199" s="11"/>
      <c r="AO199" s="11"/>
      <c r="AP199" s="11"/>
      <c r="AQ199" s="11"/>
      <c r="AR199" s="11"/>
      <c r="AS199" s="11"/>
      <c r="AT199" s="11"/>
      <c r="AU199" s="11"/>
      <c r="AV199" s="11"/>
      <c r="AW199" s="11"/>
      <c r="AX199" s="11"/>
      <c r="AY199" s="11"/>
    </row>
    <row r="200" spans="1:51">
      <c r="A200" s="37" t="s">
        <v>49</v>
      </c>
      <c r="B200" s="38">
        <v>29</v>
      </c>
      <c r="C200" s="37" t="s">
        <v>80</v>
      </c>
      <c r="D200" s="37" t="s">
        <v>25</v>
      </c>
      <c r="E200" s="37" t="s">
        <v>90</v>
      </c>
      <c r="F200" s="37">
        <v>2015</v>
      </c>
      <c r="G200" s="11">
        <v>2848</v>
      </c>
      <c r="H200" s="11">
        <v>1143</v>
      </c>
      <c r="I200" s="11">
        <v>1705</v>
      </c>
      <c r="J200" s="11">
        <v>21334</v>
      </c>
      <c r="K200" s="11">
        <v>43</v>
      </c>
      <c r="L200" s="11">
        <v>11</v>
      </c>
      <c r="M200" s="11">
        <v>17</v>
      </c>
      <c r="N200" s="11">
        <v>2482</v>
      </c>
      <c r="O200" s="11">
        <v>73772.184412816365</v>
      </c>
      <c r="P200" s="11">
        <v>1320</v>
      </c>
      <c r="Q200" s="11">
        <v>3081</v>
      </c>
      <c r="R200" s="11">
        <v>758</v>
      </c>
      <c r="S200" s="11"/>
      <c r="T200" s="11"/>
      <c r="U200" s="11">
        <v>1332</v>
      </c>
      <c r="V200" s="11">
        <v>655</v>
      </c>
      <c r="W200" s="11">
        <v>618</v>
      </c>
      <c r="X200" s="11">
        <v>598</v>
      </c>
      <c r="Y200" s="11">
        <v>2848</v>
      </c>
      <c r="Z200" s="11">
        <v>36948468</v>
      </c>
      <c r="AA200" s="11">
        <v>175</v>
      </c>
      <c r="AB200" s="11">
        <v>372</v>
      </c>
      <c r="AC200" s="11">
        <v>19</v>
      </c>
      <c r="AD200" s="11">
        <v>75</v>
      </c>
      <c r="AE200" s="11"/>
      <c r="AF200" s="11"/>
      <c r="AG200" s="11"/>
      <c r="AH200" s="11">
        <v>0</v>
      </c>
      <c r="AI200" s="11"/>
      <c r="AJ200" s="11"/>
      <c r="AK200" s="11"/>
      <c r="AL200" s="11"/>
      <c r="AM200" s="11"/>
      <c r="AN200" s="11"/>
      <c r="AO200" s="11"/>
      <c r="AP200" s="11"/>
      <c r="AQ200" s="11"/>
      <c r="AR200" s="11"/>
      <c r="AS200" s="11"/>
      <c r="AT200" s="11"/>
      <c r="AU200" s="11"/>
      <c r="AV200" s="11"/>
      <c r="AW200" s="11"/>
      <c r="AX200" s="11"/>
      <c r="AY200" s="11"/>
    </row>
    <row r="201" spans="1:51">
      <c r="A201" s="37" t="s">
        <v>49</v>
      </c>
      <c r="B201" s="38">
        <v>30</v>
      </c>
      <c r="C201" s="37" t="s">
        <v>81</v>
      </c>
      <c r="D201" s="37" t="s">
        <v>53</v>
      </c>
      <c r="E201" s="37" t="s">
        <v>90</v>
      </c>
      <c r="F201" s="37">
        <v>2015</v>
      </c>
      <c r="G201" s="11">
        <v>9327</v>
      </c>
      <c r="H201" s="11">
        <v>3736</v>
      </c>
      <c r="I201" s="11">
        <v>5591</v>
      </c>
      <c r="J201" s="11">
        <v>132416</v>
      </c>
      <c r="K201" s="11">
        <v>175</v>
      </c>
      <c r="L201" s="11">
        <v>36</v>
      </c>
      <c r="M201" s="11">
        <v>74</v>
      </c>
      <c r="N201" s="11">
        <v>7800</v>
      </c>
      <c r="O201" s="11">
        <v>447313.21251631447</v>
      </c>
      <c r="P201" s="11">
        <v>5338</v>
      </c>
      <c r="Q201" s="11">
        <v>9124</v>
      </c>
      <c r="R201" s="11">
        <v>2493</v>
      </c>
      <c r="S201" s="11"/>
      <c r="T201" s="11"/>
      <c r="U201" s="11">
        <v>3711</v>
      </c>
      <c r="V201" s="11">
        <v>2271</v>
      </c>
      <c r="W201" s="11">
        <v>2162</v>
      </c>
      <c r="X201" s="11">
        <v>2057</v>
      </c>
      <c r="Y201" s="11">
        <v>9327</v>
      </c>
      <c r="Z201" s="11">
        <v>198977232</v>
      </c>
      <c r="AA201" s="11">
        <v>562</v>
      </c>
      <c r="AB201" s="11">
        <v>1217</v>
      </c>
      <c r="AC201" s="11">
        <v>4165</v>
      </c>
      <c r="AD201" s="11">
        <v>234</v>
      </c>
      <c r="AE201" s="11"/>
      <c r="AF201" s="11"/>
      <c r="AG201" s="11"/>
      <c r="AH201" s="11">
        <v>842</v>
      </c>
      <c r="AI201" s="11">
        <v>554</v>
      </c>
      <c r="AJ201" s="11"/>
      <c r="AK201" s="11"/>
      <c r="AL201" s="11"/>
      <c r="AM201" s="11"/>
      <c r="AN201" s="11"/>
      <c r="AO201" s="11"/>
      <c r="AP201" s="11"/>
      <c r="AQ201" s="11"/>
      <c r="AR201" s="11"/>
      <c r="AS201" s="11"/>
      <c r="AT201" s="11"/>
      <c r="AU201" s="11"/>
      <c r="AV201" s="11"/>
      <c r="AW201" s="11"/>
      <c r="AX201" s="11"/>
      <c r="AY201" s="11"/>
    </row>
    <row r="202" spans="1:51">
      <c r="A202" s="37" t="s">
        <v>49</v>
      </c>
      <c r="B202" s="38">
        <v>31</v>
      </c>
      <c r="C202" s="37" t="s">
        <v>82</v>
      </c>
      <c r="D202" s="37" t="s">
        <v>26</v>
      </c>
      <c r="E202" s="37" t="s">
        <v>90</v>
      </c>
      <c r="F202" s="37">
        <v>2015</v>
      </c>
      <c r="G202" s="11">
        <v>4839</v>
      </c>
      <c r="H202" s="11">
        <v>1913</v>
      </c>
      <c r="I202" s="11">
        <v>2926</v>
      </c>
      <c r="J202" s="11">
        <v>30873</v>
      </c>
      <c r="K202" s="11">
        <v>63</v>
      </c>
      <c r="L202" s="11">
        <v>14</v>
      </c>
      <c r="M202" s="11">
        <v>24</v>
      </c>
      <c r="N202" s="11">
        <v>3433</v>
      </c>
      <c r="O202" s="11">
        <v>111391.49791559768</v>
      </c>
      <c r="P202" s="11">
        <v>2466</v>
      </c>
      <c r="Q202" s="11">
        <v>4704</v>
      </c>
      <c r="R202" s="11">
        <v>1071</v>
      </c>
      <c r="S202" s="11"/>
      <c r="T202" s="11"/>
      <c r="U202" s="11">
        <v>1708</v>
      </c>
      <c r="V202" s="11">
        <v>899</v>
      </c>
      <c r="W202" s="11">
        <v>849</v>
      </c>
      <c r="X202" s="11">
        <v>711</v>
      </c>
      <c r="Y202" s="11">
        <v>4839</v>
      </c>
      <c r="Z202" s="11">
        <v>88468761</v>
      </c>
      <c r="AA202" s="11">
        <v>272</v>
      </c>
      <c r="AB202" s="11">
        <v>360</v>
      </c>
      <c r="AC202" s="11">
        <v>2172</v>
      </c>
      <c r="AD202" s="11">
        <v>163</v>
      </c>
      <c r="AE202" s="11"/>
      <c r="AF202" s="11"/>
      <c r="AG202" s="11"/>
      <c r="AH202" s="11">
        <v>956</v>
      </c>
      <c r="AI202" s="11"/>
      <c r="AJ202" s="11"/>
      <c r="AK202" s="11"/>
      <c r="AL202" s="11"/>
      <c r="AM202" s="11"/>
      <c r="AN202" s="11"/>
      <c r="AO202" s="11"/>
      <c r="AP202" s="11"/>
      <c r="AQ202" s="11"/>
      <c r="AR202" s="11"/>
      <c r="AS202" s="11"/>
      <c r="AT202" s="11"/>
      <c r="AU202" s="11"/>
      <c r="AV202" s="11"/>
      <c r="AW202" s="11"/>
      <c r="AX202" s="11"/>
      <c r="AY202" s="11"/>
    </row>
    <row r="203" spans="1:51">
      <c r="A203" s="37" t="s">
        <v>49</v>
      </c>
      <c r="B203" s="38">
        <v>32</v>
      </c>
      <c r="C203" s="37" t="s">
        <v>83</v>
      </c>
      <c r="D203" s="37" t="s">
        <v>27</v>
      </c>
      <c r="E203" s="37" t="s">
        <v>90</v>
      </c>
      <c r="F203" s="37">
        <v>2015</v>
      </c>
      <c r="G203" s="11">
        <v>1719</v>
      </c>
      <c r="H203" s="11">
        <v>779</v>
      </c>
      <c r="I203" s="11">
        <v>940</v>
      </c>
      <c r="J203" s="11">
        <v>25816</v>
      </c>
      <c r="K203" s="11">
        <v>46</v>
      </c>
      <c r="L203" s="11">
        <v>16</v>
      </c>
      <c r="M203" s="11">
        <v>7</v>
      </c>
      <c r="N203" s="11">
        <v>1313</v>
      </c>
      <c r="O203" s="11">
        <v>90808.802607902966</v>
      </c>
      <c r="P203" s="11">
        <v>882</v>
      </c>
      <c r="Q203" s="11">
        <v>1694</v>
      </c>
      <c r="R203" s="11">
        <v>309</v>
      </c>
      <c r="S203" s="11"/>
      <c r="T203" s="11"/>
      <c r="U203" s="11">
        <v>767</v>
      </c>
      <c r="V203" s="11">
        <v>267</v>
      </c>
      <c r="W203" s="11">
        <v>276</v>
      </c>
      <c r="X203" s="11">
        <v>271</v>
      </c>
      <c r="Y203" s="11">
        <v>1719</v>
      </c>
      <c r="Z203" s="11">
        <v>32276523</v>
      </c>
      <c r="AA203" s="11">
        <v>84</v>
      </c>
      <c r="AB203" s="11">
        <v>164</v>
      </c>
      <c r="AC203" s="11">
        <v>1767</v>
      </c>
      <c r="AD203" s="11">
        <v>454</v>
      </c>
      <c r="AE203" s="11"/>
      <c r="AF203" s="11"/>
      <c r="AG203" s="11"/>
      <c r="AH203" s="11">
        <v>370</v>
      </c>
      <c r="AI203" s="11"/>
      <c r="AJ203" s="11"/>
      <c r="AK203" s="11"/>
      <c r="AL203" s="11"/>
      <c r="AM203" s="11"/>
      <c r="AN203" s="11"/>
      <c r="AO203" s="11"/>
      <c r="AP203" s="11"/>
      <c r="AQ203" s="11"/>
      <c r="AR203" s="11"/>
      <c r="AS203" s="11"/>
      <c r="AT203" s="11"/>
      <c r="AU203" s="11"/>
      <c r="AV203" s="11"/>
      <c r="AW203" s="11"/>
      <c r="AX203" s="11"/>
      <c r="AY203" s="11"/>
    </row>
    <row r="204" spans="1:51">
      <c r="A204" s="37" t="s">
        <v>124</v>
      </c>
      <c r="B204" s="38">
        <v>33</v>
      </c>
      <c r="C204" s="37" t="s">
        <v>125</v>
      </c>
      <c r="D204" s="37" t="s">
        <v>40</v>
      </c>
      <c r="E204" s="37" t="s">
        <v>90</v>
      </c>
      <c r="F204" s="37">
        <v>2015</v>
      </c>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v>112</v>
      </c>
      <c r="AI204" s="11"/>
      <c r="AJ204" s="11"/>
      <c r="AK204" s="11"/>
      <c r="AL204" s="11"/>
      <c r="AM204" s="11"/>
      <c r="AN204" s="11"/>
      <c r="AO204" s="11"/>
      <c r="AP204" s="11"/>
      <c r="AQ204" s="11"/>
      <c r="AR204" s="11"/>
      <c r="AS204" s="11"/>
      <c r="AT204" s="11"/>
      <c r="AU204" s="11"/>
      <c r="AV204" s="11"/>
      <c r="AW204" s="11"/>
      <c r="AX204" s="11"/>
      <c r="AY204" s="11"/>
    </row>
    <row r="205" spans="1:51">
      <c r="A205" s="37" t="s">
        <v>50</v>
      </c>
      <c r="B205" s="38">
        <v>0</v>
      </c>
      <c r="C205" s="37" t="s">
        <v>123</v>
      </c>
      <c r="D205" s="37" t="s">
        <v>39</v>
      </c>
      <c r="E205" s="37" t="s">
        <v>90</v>
      </c>
      <c r="F205" s="37">
        <v>2015</v>
      </c>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v>195</v>
      </c>
      <c r="AI205" s="11"/>
      <c r="AJ205" s="11">
        <v>299517.17913</v>
      </c>
      <c r="AK205" s="11">
        <v>1430230.9999999998</v>
      </c>
      <c r="AL205" s="11">
        <v>1430230.9999999998</v>
      </c>
      <c r="AM205" s="11">
        <v>1425327.2999999998</v>
      </c>
      <c r="AN205" s="11">
        <v>1358327.2999999998</v>
      </c>
      <c r="AO205" s="11">
        <v>1358327.2999999998</v>
      </c>
      <c r="AP205" s="11">
        <v>1409572.0999999999</v>
      </c>
      <c r="AQ205" s="11">
        <v>1404668.4</v>
      </c>
      <c r="AR205" s="11">
        <v>20658.900000000001</v>
      </c>
      <c r="AS205" s="11">
        <v>20658.900000000001</v>
      </c>
      <c r="AT205" s="11">
        <v>71903.7</v>
      </c>
      <c r="AU205" s="11">
        <v>1430230.9999999998</v>
      </c>
      <c r="AV205" s="11">
        <v>60560.5</v>
      </c>
      <c r="AW205" s="11">
        <v>67000</v>
      </c>
      <c r="AX205" s="11">
        <v>1430230.9999999998</v>
      </c>
      <c r="AY205" s="11">
        <v>1425327.2999999998</v>
      </c>
    </row>
    <row r="206" spans="1:51">
      <c r="A206" s="39" t="s">
        <v>49</v>
      </c>
      <c r="B206" s="40">
        <v>1</v>
      </c>
      <c r="C206" s="39" t="s">
        <v>54</v>
      </c>
      <c r="D206" s="39" t="s">
        <v>1</v>
      </c>
      <c r="E206" s="39" t="s">
        <v>91</v>
      </c>
      <c r="F206" s="39">
        <v>2016</v>
      </c>
      <c r="G206" s="12">
        <v>4628</v>
      </c>
      <c r="H206" s="12">
        <v>1649</v>
      </c>
      <c r="I206" s="12">
        <v>2979</v>
      </c>
      <c r="J206" s="12">
        <v>24872</v>
      </c>
      <c r="K206" s="12">
        <v>91</v>
      </c>
      <c r="L206" s="12"/>
      <c r="M206" s="12"/>
      <c r="N206" s="12">
        <v>4274</v>
      </c>
      <c r="O206" s="12">
        <v>75552.523142201011</v>
      </c>
      <c r="P206" s="12">
        <v>1783</v>
      </c>
      <c r="Q206" s="12">
        <v>4664</v>
      </c>
      <c r="R206" s="12">
        <v>1160</v>
      </c>
      <c r="S206" s="12"/>
      <c r="T206" s="12"/>
      <c r="U206" s="12">
        <v>1749</v>
      </c>
      <c r="V206" s="12">
        <v>1021</v>
      </c>
      <c r="W206" s="12">
        <v>1091</v>
      </c>
      <c r="X206" s="12">
        <v>995</v>
      </c>
      <c r="Y206" s="12">
        <v>4628</v>
      </c>
      <c r="Z206" s="12">
        <v>61233430.649999999</v>
      </c>
      <c r="AA206" s="12">
        <v>287</v>
      </c>
      <c r="AB206" s="12">
        <v>429</v>
      </c>
      <c r="AC206" s="12">
        <v>2520</v>
      </c>
      <c r="AD206" s="12">
        <v>258</v>
      </c>
      <c r="AE206" s="12"/>
      <c r="AF206" s="12"/>
      <c r="AG206" s="12"/>
      <c r="AH206" s="12">
        <v>1257</v>
      </c>
      <c r="AI206" s="12"/>
      <c r="AJ206" s="12"/>
      <c r="AK206" s="12"/>
      <c r="AL206" s="12"/>
      <c r="AM206" s="12"/>
      <c r="AN206" s="12"/>
      <c r="AO206" s="12"/>
      <c r="AP206" s="12"/>
      <c r="AQ206" s="12"/>
      <c r="AR206" s="12"/>
      <c r="AS206" s="12"/>
      <c r="AT206" s="12"/>
      <c r="AU206" s="12"/>
      <c r="AV206" s="12"/>
      <c r="AW206" s="12"/>
      <c r="AX206" s="12"/>
      <c r="AY206" s="12"/>
    </row>
    <row r="207" spans="1:51">
      <c r="A207" s="39" t="s">
        <v>49</v>
      </c>
      <c r="B207" s="40">
        <v>2</v>
      </c>
      <c r="C207" s="39" t="s">
        <v>55</v>
      </c>
      <c r="D207" s="39" t="s">
        <v>3</v>
      </c>
      <c r="E207" s="39" t="s">
        <v>91</v>
      </c>
      <c r="F207" s="39">
        <v>2016</v>
      </c>
      <c r="G207" s="12">
        <v>8090</v>
      </c>
      <c r="H207" s="12">
        <v>3472</v>
      </c>
      <c r="I207" s="12">
        <v>4618</v>
      </c>
      <c r="J207" s="12">
        <v>65797</v>
      </c>
      <c r="K207" s="12">
        <v>123</v>
      </c>
      <c r="L207" s="12"/>
      <c r="M207" s="12"/>
      <c r="N207" s="12">
        <v>6273</v>
      </c>
      <c r="O207" s="12">
        <v>189249.65677378187</v>
      </c>
      <c r="P207" s="12">
        <v>4316</v>
      </c>
      <c r="Q207" s="12">
        <v>8256</v>
      </c>
      <c r="R207" s="12">
        <v>1592</v>
      </c>
      <c r="S207" s="12"/>
      <c r="T207" s="12"/>
      <c r="U207" s="12">
        <v>3120</v>
      </c>
      <c r="V207" s="12">
        <v>1348</v>
      </c>
      <c r="W207" s="12">
        <v>1519</v>
      </c>
      <c r="X207" s="12">
        <v>1367</v>
      </c>
      <c r="Y207" s="12">
        <v>8090</v>
      </c>
      <c r="Z207" s="12">
        <v>130855822.47</v>
      </c>
      <c r="AA207" s="12">
        <v>378</v>
      </c>
      <c r="AB207" s="12">
        <v>749</v>
      </c>
      <c r="AC207" s="12">
        <v>2060</v>
      </c>
      <c r="AD207" s="12">
        <v>49</v>
      </c>
      <c r="AE207" s="12"/>
      <c r="AF207" s="12"/>
      <c r="AG207" s="12"/>
      <c r="AH207" s="12">
        <v>12</v>
      </c>
      <c r="AI207" s="12">
        <v>248</v>
      </c>
      <c r="AJ207" s="12"/>
      <c r="AK207" s="12"/>
      <c r="AL207" s="12"/>
      <c r="AM207" s="12"/>
      <c r="AN207" s="12"/>
      <c r="AO207" s="12"/>
      <c r="AP207" s="12"/>
      <c r="AQ207" s="12"/>
      <c r="AR207" s="12"/>
      <c r="AS207" s="12"/>
      <c r="AT207" s="12"/>
      <c r="AU207" s="12"/>
      <c r="AV207" s="12"/>
      <c r="AW207" s="12"/>
      <c r="AX207" s="12"/>
      <c r="AY207" s="12"/>
    </row>
    <row r="208" spans="1:51">
      <c r="A208" s="39" t="s">
        <v>49</v>
      </c>
      <c r="B208" s="40">
        <v>3</v>
      </c>
      <c r="C208" s="39" t="s">
        <v>56</v>
      </c>
      <c r="D208" s="39" t="s">
        <v>4</v>
      </c>
      <c r="E208" s="39" t="s">
        <v>91</v>
      </c>
      <c r="F208" s="39">
        <v>2016</v>
      </c>
      <c r="G208" s="12">
        <v>1878</v>
      </c>
      <c r="H208" s="12">
        <v>795</v>
      </c>
      <c r="I208" s="12">
        <v>1083</v>
      </c>
      <c r="J208" s="12">
        <v>13365</v>
      </c>
      <c r="K208" s="12">
        <v>18</v>
      </c>
      <c r="L208" s="12"/>
      <c r="M208" s="12"/>
      <c r="N208" s="12">
        <v>1353</v>
      </c>
      <c r="O208" s="12">
        <v>41053.964711196735</v>
      </c>
      <c r="P208" s="12">
        <v>1070</v>
      </c>
      <c r="Q208" s="12">
        <v>1875</v>
      </c>
      <c r="R208" s="12">
        <v>549</v>
      </c>
      <c r="S208" s="12"/>
      <c r="T208" s="12"/>
      <c r="U208" s="12">
        <v>884</v>
      </c>
      <c r="V208" s="12">
        <v>455</v>
      </c>
      <c r="W208" s="12">
        <v>429</v>
      </c>
      <c r="X208" s="12">
        <v>412</v>
      </c>
      <c r="Y208" s="12">
        <v>1878</v>
      </c>
      <c r="Z208" s="12">
        <v>32845717.109999999</v>
      </c>
      <c r="AA208" s="12">
        <v>91</v>
      </c>
      <c r="AB208" s="12">
        <v>217</v>
      </c>
      <c r="AC208" s="12">
        <v>1141</v>
      </c>
      <c r="AD208" s="12">
        <v>52</v>
      </c>
      <c r="AE208" s="12"/>
      <c r="AF208" s="12"/>
      <c r="AG208" s="12"/>
      <c r="AH208" s="12">
        <v>0</v>
      </c>
      <c r="AI208" s="12"/>
      <c r="AJ208" s="12"/>
      <c r="AK208" s="12"/>
      <c r="AL208" s="12"/>
      <c r="AM208" s="12"/>
      <c r="AN208" s="12"/>
      <c r="AO208" s="12"/>
      <c r="AP208" s="12"/>
      <c r="AQ208" s="12"/>
      <c r="AR208" s="12"/>
      <c r="AS208" s="12"/>
      <c r="AT208" s="12"/>
      <c r="AU208" s="12"/>
      <c r="AV208" s="12"/>
      <c r="AW208" s="12"/>
      <c r="AX208" s="12"/>
      <c r="AY208" s="12"/>
    </row>
    <row r="209" spans="1:51">
      <c r="A209" s="39" t="s">
        <v>49</v>
      </c>
      <c r="B209" s="40">
        <v>4</v>
      </c>
      <c r="C209" s="39" t="s">
        <v>57</v>
      </c>
      <c r="D209" s="39" t="s">
        <v>5</v>
      </c>
      <c r="E209" s="39" t="s">
        <v>91</v>
      </c>
      <c r="F209" s="39">
        <v>2016</v>
      </c>
      <c r="G209" s="12">
        <v>1835</v>
      </c>
      <c r="H209" s="12">
        <v>694</v>
      </c>
      <c r="I209" s="12">
        <v>1141</v>
      </c>
      <c r="J209" s="12">
        <v>13650</v>
      </c>
      <c r="K209" s="12">
        <v>40</v>
      </c>
      <c r="L209" s="12"/>
      <c r="M209" s="12"/>
      <c r="N209" s="12">
        <v>1231</v>
      </c>
      <c r="O209" s="12">
        <v>48515.428270691897</v>
      </c>
      <c r="P209" s="12">
        <v>845</v>
      </c>
      <c r="Q209" s="12">
        <v>1890</v>
      </c>
      <c r="R209" s="12">
        <v>394</v>
      </c>
      <c r="S209" s="12"/>
      <c r="T209" s="12"/>
      <c r="U209" s="12">
        <v>799</v>
      </c>
      <c r="V209" s="12">
        <v>337</v>
      </c>
      <c r="W209" s="12">
        <v>367</v>
      </c>
      <c r="X209" s="12">
        <v>317</v>
      </c>
      <c r="Y209" s="12">
        <v>1835</v>
      </c>
      <c r="Z209" s="12">
        <v>39270163.579999998</v>
      </c>
      <c r="AA209" s="12">
        <v>106</v>
      </c>
      <c r="AB209" s="12">
        <v>331</v>
      </c>
      <c r="AC209" s="12">
        <v>209</v>
      </c>
      <c r="AD209" s="12">
        <v>69</v>
      </c>
      <c r="AE209" s="12"/>
      <c r="AF209" s="12"/>
      <c r="AG209" s="12"/>
      <c r="AH209" s="12">
        <v>227</v>
      </c>
      <c r="AI209" s="12"/>
      <c r="AJ209" s="12"/>
      <c r="AK209" s="12"/>
      <c r="AL209" s="12"/>
      <c r="AM209" s="12"/>
      <c r="AN209" s="12"/>
      <c r="AO209" s="12"/>
      <c r="AP209" s="12"/>
      <c r="AQ209" s="12"/>
      <c r="AR209" s="12"/>
      <c r="AS209" s="12"/>
      <c r="AT209" s="12"/>
      <c r="AU209" s="12"/>
      <c r="AV209" s="12"/>
      <c r="AW209" s="12"/>
      <c r="AX209" s="12"/>
      <c r="AY209" s="12"/>
    </row>
    <row r="210" spans="1:51">
      <c r="A210" s="39" t="s">
        <v>49</v>
      </c>
      <c r="B210" s="40">
        <v>7</v>
      </c>
      <c r="C210" s="39" t="s">
        <v>58</v>
      </c>
      <c r="D210" s="39" t="s">
        <v>6</v>
      </c>
      <c r="E210" s="39" t="s">
        <v>91</v>
      </c>
      <c r="F210" s="39">
        <v>2016</v>
      </c>
      <c r="G210" s="12">
        <v>7553</v>
      </c>
      <c r="H210" s="12">
        <v>2843</v>
      </c>
      <c r="I210" s="12">
        <v>4710</v>
      </c>
      <c r="J210" s="12">
        <v>95696</v>
      </c>
      <c r="K210" s="12">
        <v>167</v>
      </c>
      <c r="L210" s="12"/>
      <c r="M210" s="12"/>
      <c r="N210" s="12">
        <v>6204</v>
      </c>
      <c r="O210" s="12">
        <v>340247.31517651619</v>
      </c>
      <c r="P210" s="12">
        <v>3471</v>
      </c>
      <c r="Q210" s="12">
        <v>7432</v>
      </c>
      <c r="R210" s="12">
        <v>1925</v>
      </c>
      <c r="S210" s="12"/>
      <c r="T210" s="12"/>
      <c r="U210" s="12">
        <v>3054</v>
      </c>
      <c r="V210" s="12">
        <v>1704</v>
      </c>
      <c r="W210" s="12">
        <v>1634</v>
      </c>
      <c r="X210" s="12">
        <v>1474</v>
      </c>
      <c r="Y210" s="12">
        <v>7553</v>
      </c>
      <c r="Z210" s="12">
        <v>150972766.46000001</v>
      </c>
      <c r="AA210" s="12">
        <v>417</v>
      </c>
      <c r="AB210" s="12">
        <v>714</v>
      </c>
      <c r="AC210" s="12">
        <v>3261</v>
      </c>
      <c r="AD210" s="12">
        <v>126</v>
      </c>
      <c r="AE210" s="12"/>
      <c r="AF210" s="12"/>
      <c r="AG210" s="12"/>
      <c r="AH210" s="12">
        <v>459</v>
      </c>
      <c r="AI210" s="12"/>
      <c r="AJ210" s="12"/>
      <c r="AK210" s="12"/>
      <c r="AL210" s="12"/>
      <c r="AM210" s="12"/>
      <c r="AN210" s="12"/>
      <c r="AO210" s="12"/>
      <c r="AP210" s="12"/>
      <c r="AQ210" s="12"/>
      <c r="AR210" s="12"/>
      <c r="AS210" s="12"/>
      <c r="AT210" s="12"/>
      <c r="AU210" s="12"/>
      <c r="AV210" s="12"/>
      <c r="AW210" s="12"/>
      <c r="AX210" s="12"/>
      <c r="AY210" s="12"/>
    </row>
    <row r="211" spans="1:51">
      <c r="A211" s="39" t="s">
        <v>49</v>
      </c>
      <c r="B211" s="40">
        <v>8</v>
      </c>
      <c r="C211" s="39" t="s">
        <v>59</v>
      </c>
      <c r="D211" s="39" t="s">
        <v>7</v>
      </c>
      <c r="E211" s="39" t="s">
        <v>91</v>
      </c>
      <c r="F211" s="39">
        <v>2016</v>
      </c>
      <c r="G211" s="12">
        <v>9095</v>
      </c>
      <c r="H211" s="12">
        <v>3667</v>
      </c>
      <c r="I211" s="12">
        <v>5428</v>
      </c>
      <c r="J211" s="12">
        <v>58384</v>
      </c>
      <c r="K211" s="12">
        <v>157</v>
      </c>
      <c r="L211" s="12"/>
      <c r="M211" s="12"/>
      <c r="N211" s="12">
        <v>8007</v>
      </c>
      <c r="O211" s="12">
        <v>202549.85077126772</v>
      </c>
      <c r="P211" s="12">
        <v>4481</v>
      </c>
      <c r="Q211" s="12">
        <v>9712</v>
      </c>
      <c r="R211" s="12">
        <v>2136</v>
      </c>
      <c r="S211" s="12"/>
      <c r="T211" s="12"/>
      <c r="U211" s="12">
        <v>3670</v>
      </c>
      <c r="V211" s="12">
        <v>1887</v>
      </c>
      <c r="W211" s="12">
        <v>1992</v>
      </c>
      <c r="X211" s="12">
        <v>1832</v>
      </c>
      <c r="Y211" s="12">
        <v>9095</v>
      </c>
      <c r="Z211" s="12">
        <v>145516960.11000001</v>
      </c>
      <c r="AA211" s="12">
        <v>595</v>
      </c>
      <c r="AB211" s="12">
        <v>983</v>
      </c>
      <c r="AC211" s="12">
        <v>2090</v>
      </c>
      <c r="AD211" s="12">
        <v>459</v>
      </c>
      <c r="AE211" s="12"/>
      <c r="AF211" s="12"/>
      <c r="AG211" s="12"/>
      <c r="AH211" s="12">
        <v>171</v>
      </c>
      <c r="AI211" s="12">
        <v>830</v>
      </c>
      <c r="AJ211" s="12"/>
      <c r="AK211" s="12"/>
      <c r="AL211" s="12"/>
      <c r="AM211" s="12"/>
      <c r="AN211" s="12"/>
      <c r="AO211" s="12"/>
      <c r="AP211" s="12"/>
      <c r="AQ211" s="12"/>
      <c r="AR211" s="12"/>
      <c r="AS211" s="12"/>
      <c r="AT211" s="12"/>
      <c r="AU211" s="12"/>
      <c r="AV211" s="12"/>
      <c r="AW211" s="12"/>
      <c r="AX211" s="12"/>
      <c r="AY211" s="12"/>
    </row>
    <row r="212" spans="1:51">
      <c r="A212" s="39" t="s">
        <v>50</v>
      </c>
      <c r="B212" s="40">
        <v>9</v>
      </c>
      <c r="C212" s="39" t="s">
        <v>84</v>
      </c>
      <c r="D212" s="39" t="s">
        <v>32</v>
      </c>
      <c r="E212" s="39" t="s">
        <v>91</v>
      </c>
      <c r="F212" s="39">
        <v>2016</v>
      </c>
      <c r="G212" s="12">
        <v>44532</v>
      </c>
      <c r="H212" s="12">
        <v>19341</v>
      </c>
      <c r="I212" s="12">
        <v>25191</v>
      </c>
      <c r="J212" s="12">
        <v>149092</v>
      </c>
      <c r="K212" s="12">
        <v>578</v>
      </c>
      <c r="L212" s="12"/>
      <c r="M212" s="12"/>
      <c r="N212" s="12">
        <v>35070</v>
      </c>
      <c r="O212" s="12">
        <v>398626.75142456184</v>
      </c>
      <c r="P212" s="12">
        <v>25391</v>
      </c>
      <c r="Q212" s="12">
        <v>44572</v>
      </c>
      <c r="R212" s="12">
        <v>8176</v>
      </c>
      <c r="S212" s="12"/>
      <c r="T212" s="12"/>
      <c r="U212" s="12">
        <v>17832</v>
      </c>
      <c r="V212" s="12">
        <v>6851</v>
      </c>
      <c r="W212" s="12">
        <v>6975</v>
      </c>
      <c r="X212" s="12">
        <v>4488</v>
      </c>
      <c r="Y212" s="12">
        <v>44532</v>
      </c>
      <c r="Z212" s="12">
        <v>712523049.10000002</v>
      </c>
      <c r="AA212" s="12">
        <v>2139</v>
      </c>
      <c r="AB212" s="12">
        <v>3705</v>
      </c>
      <c r="AC212" s="12">
        <v>9656</v>
      </c>
      <c r="AD212" s="12">
        <v>498</v>
      </c>
      <c r="AE212" s="12"/>
      <c r="AF212" s="12"/>
      <c r="AG212" s="12"/>
      <c r="AH212" s="12">
        <v>409</v>
      </c>
      <c r="AI212" s="12"/>
      <c r="AJ212" s="12"/>
      <c r="AK212" s="12"/>
      <c r="AL212" s="12"/>
      <c r="AM212" s="12"/>
      <c r="AN212" s="12"/>
      <c r="AO212" s="12"/>
      <c r="AP212" s="12"/>
      <c r="AQ212" s="12"/>
      <c r="AR212" s="12"/>
      <c r="AS212" s="12"/>
      <c r="AT212" s="12"/>
      <c r="AU212" s="12"/>
      <c r="AV212" s="12"/>
      <c r="AW212" s="12"/>
      <c r="AX212" s="12"/>
      <c r="AY212" s="12"/>
    </row>
    <row r="213" spans="1:51">
      <c r="A213" s="39" t="s">
        <v>49</v>
      </c>
      <c r="B213" s="40">
        <v>5</v>
      </c>
      <c r="C213" s="39" t="s">
        <v>60</v>
      </c>
      <c r="D213" s="39" t="s">
        <v>31</v>
      </c>
      <c r="E213" s="39" t="s">
        <v>91</v>
      </c>
      <c r="F213" s="39">
        <v>2016</v>
      </c>
      <c r="G213" s="12">
        <v>9358</v>
      </c>
      <c r="H213" s="12">
        <v>3694</v>
      </c>
      <c r="I213" s="12">
        <v>5664</v>
      </c>
      <c r="J213" s="12">
        <v>45461</v>
      </c>
      <c r="K213" s="12">
        <v>134</v>
      </c>
      <c r="L213" s="12"/>
      <c r="M213" s="12"/>
      <c r="N213" s="12">
        <v>7882</v>
      </c>
      <c r="O213" s="12">
        <v>164049.17509195409</v>
      </c>
      <c r="P213" s="12">
        <v>4894</v>
      </c>
      <c r="Q213" s="12">
        <v>8924</v>
      </c>
      <c r="R213" s="12">
        <v>1884</v>
      </c>
      <c r="S213" s="12"/>
      <c r="T213" s="12"/>
      <c r="U213" s="12">
        <v>3155</v>
      </c>
      <c r="V213" s="12">
        <v>1717</v>
      </c>
      <c r="W213" s="12">
        <v>1732</v>
      </c>
      <c r="X213" s="12">
        <v>1678</v>
      </c>
      <c r="Y213" s="12">
        <v>9358</v>
      </c>
      <c r="Z213" s="12">
        <v>142365785.33000001</v>
      </c>
      <c r="AA213" s="12">
        <v>425</v>
      </c>
      <c r="AB213" s="12">
        <v>1141</v>
      </c>
      <c r="AC213" s="12">
        <v>1777</v>
      </c>
      <c r="AD213" s="12">
        <v>110</v>
      </c>
      <c r="AE213" s="12"/>
      <c r="AF213" s="12"/>
      <c r="AG213" s="12"/>
      <c r="AH213" s="12">
        <v>29</v>
      </c>
      <c r="AI213" s="12"/>
      <c r="AJ213" s="12"/>
      <c r="AK213" s="12"/>
      <c r="AL213" s="12"/>
      <c r="AM213" s="12"/>
      <c r="AN213" s="12"/>
      <c r="AO213" s="12"/>
      <c r="AP213" s="12"/>
      <c r="AQ213" s="12"/>
      <c r="AR213" s="12"/>
      <c r="AS213" s="12"/>
      <c r="AT213" s="12"/>
      <c r="AU213" s="12"/>
      <c r="AV213" s="12"/>
      <c r="AW213" s="12"/>
      <c r="AX213" s="12"/>
      <c r="AY213" s="12"/>
    </row>
    <row r="214" spans="1:51">
      <c r="A214" s="39" t="s">
        <v>49</v>
      </c>
      <c r="B214" s="40">
        <v>6</v>
      </c>
      <c r="C214" s="39" t="s">
        <v>61</v>
      </c>
      <c r="D214" s="39" t="s">
        <v>8</v>
      </c>
      <c r="E214" s="39" t="s">
        <v>91</v>
      </c>
      <c r="F214" s="39">
        <v>2016</v>
      </c>
      <c r="G214" s="12">
        <v>1986</v>
      </c>
      <c r="H214" s="12">
        <v>861</v>
      </c>
      <c r="I214" s="12">
        <v>1125</v>
      </c>
      <c r="J214" s="12">
        <v>10098</v>
      </c>
      <c r="K214" s="12">
        <v>48</v>
      </c>
      <c r="L214" s="12"/>
      <c r="M214" s="12"/>
      <c r="N214" s="12">
        <v>1204</v>
      </c>
      <c r="O214" s="12">
        <v>37875.704792408171</v>
      </c>
      <c r="P214" s="12">
        <v>987</v>
      </c>
      <c r="Q214" s="12">
        <v>1904</v>
      </c>
      <c r="R214" s="12">
        <v>357</v>
      </c>
      <c r="S214" s="12"/>
      <c r="T214" s="12"/>
      <c r="U214" s="12">
        <v>813</v>
      </c>
      <c r="V214" s="12">
        <v>288</v>
      </c>
      <c r="W214" s="12">
        <v>313</v>
      </c>
      <c r="X214" s="12">
        <v>291</v>
      </c>
      <c r="Y214" s="12">
        <v>1986</v>
      </c>
      <c r="Z214" s="12">
        <v>39698810.590000004</v>
      </c>
      <c r="AA214" s="12">
        <v>116</v>
      </c>
      <c r="AB214" s="12">
        <v>320</v>
      </c>
      <c r="AC214" s="12">
        <v>446</v>
      </c>
      <c r="AD214" s="12">
        <v>53</v>
      </c>
      <c r="AE214" s="12"/>
      <c r="AF214" s="12"/>
      <c r="AG214" s="12"/>
      <c r="AH214" s="12">
        <v>2</v>
      </c>
      <c r="AI214" s="12"/>
      <c r="AJ214" s="12"/>
      <c r="AK214" s="12"/>
      <c r="AL214" s="12"/>
      <c r="AM214" s="12"/>
      <c r="AN214" s="12"/>
      <c r="AO214" s="12"/>
      <c r="AP214" s="12"/>
      <c r="AQ214" s="12"/>
      <c r="AR214" s="12"/>
      <c r="AS214" s="12"/>
      <c r="AT214" s="12"/>
      <c r="AU214" s="12"/>
      <c r="AV214" s="12"/>
      <c r="AW214" s="12"/>
      <c r="AX214" s="12"/>
      <c r="AY214" s="12"/>
    </row>
    <row r="215" spans="1:51">
      <c r="A215" s="39" t="s">
        <v>49</v>
      </c>
      <c r="B215" s="40">
        <v>10</v>
      </c>
      <c r="C215" s="39" t="s">
        <v>62</v>
      </c>
      <c r="D215" s="39" t="s">
        <v>9</v>
      </c>
      <c r="E215" s="39" t="s">
        <v>91</v>
      </c>
      <c r="F215" s="39">
        <v>2016</v>
      </c>
      <c r="G215" s="12">
        <v>2142</v>
      </c>
      <c r="H215" s="12">
        <v>853</v>
      </c>
      <c r="I215" s="12">
        <v>1289</v>
      </c>
      <c r="J215" s="12">
        <v>28138</v>
      </c>
      <c r="K215" s="12">
        <v>52</v>
      </c>
      <c r="L215" s="12"/>
      <c r="M215" s="12"/>
      <c r="N215" s="12">
        <v>1732</v>
      </c>
      <c r="O215" s="12">
        <v>103161.14488961299</v>
      </c>
      <c r="P215" s="12">
        <v>989</v>
      </c>
      <c r="Q215" s="12">
        <v>2338</v>
      </c>
      <c r="R215" s="12">
        <v>457</v>
      </c>
      <c r="S215" s="12"/>
      <c r="T215" s="12"/>
      <c r="U215" s="12">
        <v>1022</v>
      </c>
      <c r="V215" s="12">
        <v>403</v>
      </c>
      <c r="W215" s="12">
        <v>435</v>
      </c>
      <c r="X215" s="12">
        <v>328</v>
      </c>
      <c r="Y215" s="12">
        <v>2142</v>
      </c>
      <c r="Z215" s="12">
        <v>38851853.909999996</v>
      </c>
      <c r="AA215" s="12">
        <v>152</v>
      </c>
      <c r="AB215" s="12">
        <v>260</v>
      </c>
      <c r="AC215" s="12">
        <v>836</v>
      </c>
      <c r="AD215" s="12">
        <v>19</v>
      </c>
      <c r="AE215" s="12"/>
      <c r="AF215" s="12"/>
      <c r="AG215" s="12"/>
      <c r="AH215" s="12">
        <v>1</v>
      </c>
      <c r="AI215" s="12"/>
      <c r="AJ215" s="12"/>
      <c r="AK215" s="12"/>
      <c r="AL215" s="12"/>
      <c r="AM215" s="12"/>
      <c r="AN215" s="12"/>
      <c r="AO215" s="12"/>
      <c r="AP215" s="12"/>
      <c r="AQ215" s="12"/>
      <c r="AR215" s="12"/>
      <c r="AS215" s="12"/>
      <c r="AT215" s="12"/>
      <c r="AU215" s="12"/>
      <c r="AV215" s="12"/>
      <c r="AW215" s="12"/>
      <c r="AX215" s="12"/>
      <c r="AY215" s="12"/>
    </row>
    <row r="216" spans="1:51">
      <c r="A216" s="39" t="s">
        <v>49</v>
      </c>
      <c r="B216" s="40">
        <v>11</v>
      </c>
      <c r="C216" s="39" t="s">
        <v>63</v>
      </c>
      <c r="D216" s="39" t="s">
        <v>10</v>
      </c>
      <c r="E216" s="39" t="s">
        <v>91</v>
      </c>
      <c r="F216" s="39">
        <v>2016</v>
      </c>
      <c r="G216" s="12">
        <v>17266</v>
      </c>
      <c r="H216" s="12">
        <v>7056</v>
      </c>
      <c r="I216" s="12">
        <v>10210</v>
      </c>
      <c r="J216" s="12">
        <v>101972</v>
      </c>
      <c r="K216" s="12">
        <v>288</v>
      </c>
      <c r="L216" s="12"/>
      <c r="M216" s="12"/>
      <c r="N216" s="12">
        <v>13982</v>
      </c>
      <c r="O216" s="12">
        <v>343052.59941082727</v>
      </c>
      <c r="P216" s="12">
        <v>9987</v>
      </c>
      <c r="Q216" s="12">
        <v>17490</v>
      </c>
      <c r="R216" s="12">
        <v>5020</v>
      </c>
      <c r="S216" s="12"/>
      <c r="T216" s="12"/>
      <c r="U216" s="12">
        <v>8079</v>
      </c>
      <c r="V216" s="12">
        <v>4743</v>
      </c>
      <c r="W216" s="12">
        <v>4179</v>
      </c>
      <c r="X216" s="12">
        <v>4061</v>
      </c>
      <c r="Y216" s="12">
        <v>17266</v>
      </c>
      <c r="Z216" s="12">
        <v>232530027.75999999</v>
      </c>
      <c r="AA216" s="12">
        <v>882</v>
      </c>
      <c r="AB216" s="12">
        <v>2187</v>
      </c>
      <c r="AC216" s="12">
        <v>14908</v>
      </c>
      <c r="AD216" s="12">
        <v>724</v>
      </c>
      <c r="AE216" s="12"/>
      <c r="AF216" s="12"/>
      <c r="AG216" s="12"/>
      <c r="AH216" s="12">
        <v>1341</v>
      </c>
      <c r="AI216" s="12">
        <v>10325</v>
      </c>
      <c r="AJ216" s="12"/>
      <c r="AK216" s="12"/>
      <c r="AL216" s="12"/>
      <c r="AM216" s="12"/>
      <c r="AN216" s="12"/>
      <c r="AO216" s="12"/>
      <c r="AP216" s="12"/>
      <c r="AQ216" s="12"/>
      <c r="AR216" s="12"/>
      <c r="AS216" s="12"/>
      <c r="AT216" s="12"/>
      <c r="AU216" s="12"/>
      <c r="AV216" s="12"/>
      <c r="AW216" s="12"/>
      <c r="AX216" s="12"/>
      <c r="AY216" s="12"/>
    </row>
    <row r="217" spans="1:51">
      <c r="A217" s="39" t="s">
        <v>49</v>
      </c>
      <c r="B217" s="40">
        <v>12</v>
      </c>
      <c r="C217" s="39" t="s">
        <v>64</v>
      </c>
      <c r="D217" s="39" t="s">
        <v>11</v>
      </c>
      <c r="E217" s="39" t="s">
        <v>91</v>
      </c>
      <c r="F217" s="39">
        <v>2016</v>
      </c>
      <c r="G217" s="12">
        <v>6290</v>
      </c>
      <c r="H217" s="12">
        <v>2388</v>
      </c>
      <c r="I217" s="12">
        <v>3902</v>
      </c>
      <c r="J217" s="12">
        <v>67377</v>
      </c>
      <c r="K217" s="12">
        <v>128</v>
      </c>
      <c r="L217" s="12"/>
      <c r="M217" s="12"/>
      <c r="N217" s="12">
        <v>4921</v>
      </c>
      <c r="O217" s="12">
        <v>223862.11018434755</v>
      </c>
      <c r="P217" s="12">
        <v>3307</v>
      </c>
      <c r="Q217" s="12">
        <v>6612</v>
      </c>
      <c r="R217" s="12">
        <v>1495</v>
      </c>
      <c r="S217" s="12"/>
      <c r="T217" s="12"/>
      <c r="U217" s="12">
        <v>2731</v>
      </c>
      <c r="V217" s="12">
        <v>1363</v>
      </c>
      <c r="W217" s="12">
        <v>1457</v>
      </c>
      <c r="X217" s="12">
        <v>928</v>
      </c>
      <c r="Y217" s="12">
        <v>6290</v>
      </c>
      <c r="Z217" s="12">
        <v>126521394.34999999</v>
      </c>
      <c r="AA217" s="12">
        <v>314</v>
      </c>
      <c r="AB217" s="12">
        <v>719</v>
      </c>
      <c r="AC217" s="12">
        <v>1707</v>
      </c>
      <c r="AD217" s="12">
        <v>680</v>
      </c>
      <c r="AE217" s="12"/>
      <c r="AF217" s="12"/>
      <c r="AG217" s="12"/>
      <c r="AH217" s="12">
        <v>1021</v>
      </c>
      <c r="AI217" s="12"/>
      <c r="AJ217" s="12"/>
      <c r="AK217" s="12"/>
      <c r="AL217" s="12"/>
      <c r="AM217" s="12"/>
      <c r="AN217" s="12"/>
      <c r="AO217" s="12"/>
      <c r="AP217" s="12"/>
      <c r="AQ217" s="12"/>
      <c r="AR217" s="12"/>
      <c r="AS217" s="12"/>
      <c r="AT217" s="12"/>
      <c r="AU217" s="12"/>
      <c r="AV217" s="12"/>
      <c r="AW217" s="12"/>
      <c r="AX217" s="12"/>
      <c r="AY217" s="12"/>
    </row>
    <row r="218" spans="1:51">
      <c r="A218" s="39" t="s">
        <v>49</v>
      </c>
      <c r="B218" s="40">
        <v>13</v>
      </c>
      <c r="C218" s="39" t="s">
        <v>65</v>
      </c>
      <c r="D218" s="39" t="s">
        <v>12</v>
      </c>
      <c r="E218" s="39" t="s">
        <v>91</v>
      </c>
      <c r="F218" s="39">
        <v>2016</v>
      </c>
      <c r="G218" s="12">
        <v>3715</v>
      </c>
      <c r="H218" s="12">
        <v>1609</v>
      </c>
      <c r="I218" s="12">
        <v>2106</v>
      </c>
      <c r="J218" s="12">
        <v>53656</v>
      </c>
      <c r="K218" s="12">
        <v>71</v>
      </c>
      <c r="L218" s="12"/>
      <c r="M218" s="12"/>
      <c r="N218" s="12">
        <v>3240</v>
      </c>
      <c r="O218" s="12">
        <v>160914.50700483442</v>
      </c>
      <c r="P218" s="12">
        <v>1987</v>
      </c>
      <c r="Q218" s="12">
        <v>3713</v>
      </c>
      <c r="R218" s="12">
        <v>836</v>
      </c>
      <c r="S218" s="12"/>
      <c r="T218" s="12"/>
      <c r="U218" s="12">
        <v>1716</v>
      </c>
      <c r="V218" s="12">
        <v>710</v>
      </c>
      <c r="W218" s="12">
        <v>691</v>
      </c>
      <c r="X218" s="12">
        <v>684</v>
      </c>
      <c r="Y218" s="12">
        <v>3715</v>
      </c>
      <c r="Z218" s="12">
        <v>60800287.82</v>
      </c>
      <c r="AA218" s="12">
        <v>213</v>
      </c>
      <c r="AB218" s="12">
        <v>428</v>
      </c>
      <c r="AC218" s="12">
        <v>839</v>
      </c>
      <c r="AD218" s="12">
        <v>512</v>
      </c>
      <c r="AE218" s="12"/>
      <c r="AF218" s="12"/>
      <c r="AG218" s="12"/>
      <c r="AH218" s="12">
        <v>183</v>
      </c>
      <c r="AI218" s="12"/>
      <c r="AJ218" s="12"/>
      <c r="AK218" s="12"/>
      <c r="AL218" s="12"/>
      <c r="AM218" s="12"/>
      <c r="AN218" s="12"/>
      <c r="AO218" s="12"/>
      <c r="AP218" s="12"/>
      <c r="AQ218" s="12"/>
      <c r="AR218" s="12"/>
      <c r="AS218" s="12"/>
      <c r="AT218" s="12"/>
      <c r="AU218" s="12"/>
      <c r="AV218" s="12"/>
      <c r="AW218" s="12"/>
      <c r="AX218" s="12"/>
      <c r="AY218" s="12"/>
    </row>
    <row r="219" spans="1:51">
      <c r="A219" s="39" t="s">
        <v>49</v>
      </c>
      <c r="B219" s="40">
        <v>14</v>
      </c>
      <c r="C219" s="39" t="s">
        <v>66</v>
      </c>
      <c r="D219" s="39" t="s">
        <v>13</v>
      </c>
      <c r="E219" s="39" t="s">
        <v>91</v>
      </c>
      <c r="F219" s="39">
        <v>2016</v>
      </c>
      <c r="G219" s="12">
        <v>14712</v>
      </c>
      <c r="H219" s="12">
        <v>5788</v>
      </c>
      <c r="I219" s="12">
        <v>8924</v>
      </c>
      <c r="J219" s="12">
        <v>134735</v>
      </c>
      <c r="K219" s="12">
        <v>276</v>
      </c>
      <c r="L219" s="12"/>
      <c r="M219" s="12"/>
      <c r="N219" s="12">
        <v>11181</v>
      </c>
      <c r="O219" s="12">
        <v>434016.99044479663</v>
      </c>
      <c r="P219" s="12">
        <v>6016</v>
      </c>
      <c r="Q219" s="12">
        <v>14614</v>
      </c>
      <c r="R219" s="12">
        <v>3200</v>
      </c>
      <c r="S219" s="12"/>
      <c r="T219" s="12"/>
      <c r="U219" s="12">
        <v>5644</v>
      </c>
      <c r="V219" s="12">
        <v>2841</v>
      </c>
      <c r="W219" s="12">
        <v>3081</v>
      </c>
      <c r="X219" s="12">
        <v>2825</v>
      </c>
      <c r="Y219" s="12">
        <v>14712</v>
      </c>
      <c r="Z219" s="12">
        <v>246794917.25</v>
      </c>
      <c r="AA219" s="12">
        <v>865</v>
      </c>
      <c r="AB219" s="12">
        <v>2084</v>
      </c>
      <c r="AC219" s="12">
        <v>5689</v>
      </c>
      <c r="AD219" s="12">
        <v>422</v>
      </c>
      <c r="AE219" s="12"/>
      <c r="AF219" s="12"/>
      <c r="AG219" s="12"/>
      <c r="AH219" s="12">
        <v>33</v>
      </c>
      <c r="AI219" s="12">
        <v>523</v>
      </c>
      <c r="AJ219" s="12"/>
      <c r="AK219" s="12"/>
      <c r="AL219" s="12"/>
      <c r="AM219" s="12"/>
      <c r="AN219" s="12"/>
      <c r="AO219" s="12"/>
      <c r="AP219" s="12"/>
      <c r="AQ219" s="12"/>
      <c r="AR219" s="12"/>
      <c r="AS219" s="12"/>
      <c r="AT219" s="12"/>
      <c r="AU219" s="12"/>
      <c r="AV219" s="12"/>
      <c r="AW219" s="12"/>
      <c r="AX219" s="12"/>
      <c r="AY219" s="12"/>
    </row>
    <row r="220" spans="1:51">
      <c r="A220" s="39" t="s">
        <v>49</v>
      </c>
      <c r="B220" s="40">
        <v>15</v>
      </c>
      <c r="C220" s="39" t="s">
        <v>67</v>
      </c>
      <c r="D220" s="39" t="s">
        <v>14</v>
      </c>
      <c r="E220" s="39" t="s">
        <v>91</v>
      </c>
      <c r="F220" s="39">
        <v>2016</v>
      </c>
      <c r="G220" s="12">
        <v>48274</v>
      </c>
      <c r="H220" s="12">
        <v>20110</v>
      </c>
      <c r="I220" s="12">
        <v>28164</v>
      </c>
      <c r="J220" s="12">
        <v>282972</v>
      </c>
      <c r="K220" s="12">
        <v>777</v>
      </c>
      <c r="L220" s="12"/>
      <c r="M220" s="12"/>
      <c r="N220" s="12">
        <v>41167</v>
      </c>
      <c r="O220" s="12">
        <v>912434.1330424099</v>
      </c>
      <c r="P220" s="12">
        <v>30447</v>
      </c>
      <c r="Q220" s="12">
        <v>47574</v>
      </c>
      <c r="R220" s="12">
        <v>9775</v>
      </c>
      <c r="S220" s="12"/>
      <c r="T220" s="12"/>
      <c r="U220" s="12">
        <v>19346</v>
      </c>
      <c r="V220" s="12">
        <v>8197</v>
      </c>
      <c r="W220" s="12">
        <v>8432</v>
      </c>
      <c r="X220" s="12">
        <v>7119</v>
      </c>
      <c r="Y220" s="12">
        <v>48274</v>
      </c>
      <c r="Z220" s="12">
        <v>719471475.25999999</v>
      </c>
      <c r="AA220" s="12">
        <v>2301</v>
      </c>
      <c r="AB220" s="12">
        <v>4445</v>
      </c>
      <c r="AC220" s="12">
        <v>10044</v>
      </c>
      <c r="AD220" s="12">
        <v>1523</v>
      </c>
      <c r="AE220" s="12"/>
      <c r="AF220" s="12"/>
      <c r="AG220" s="12"/>
      <c r="AH220" s="12">
        <v>21394</v>
      </c>
      <c r="AI220" s="12">
        <v>928</v>
      </c>
      <c r="AJ220" s="12"/>
      <c r="AK220" s="12"/>
      <c r="AL220" s="12"/>
      <c r="AM220" s="12"/>
      <c r="AN220" s="12"/>
      <c r="AO220" s="12"/>
      <c r="AP220" s="12"/>
      <c r="AQ220" s="12"/>
      <c r="AR220" s="12"/>
      <c r="AS220" s="12"/>
      <c r="AT220" s="12"/>
      <c r="AU220" s="12"/>
      <c r="AV220" s="12"/>
      <c r="AW220" s="12"/>
      <c r="AX220" s="12"/>
      <c r="AY220" s="12"/>
    </row>
    <row r="221" spans="1:51">
      <c r="A221" s="39" t="s">
        <v>49</v>
      </c>
      <c r="B221" s="40">
        <v>16</v>
      </c>
      <c r="C221" s="39" t="s">
        <v>68</v>
      </c>
      <c r="D221" s="39" t="s">
        <v>30</v>
      </c>
      <c r="E221" s="39" t="s">
        <v>91</v>
      </c>
      <c r="F221" s="39">
        <v>2016</v>
      </c>
      <c r="G221" s="12">
        <v>11186</v>
      </c>
      <c r="H221" s="12">
        <v>4617</v>
      </c>
      <c r="I221" s="12">
        <v>6569</v>
      </c>
      <c r="J221" s="12">
        <v>71545</v>
      </c>
      <c r="K221" s="12">
        <v>219</v>
      </c>
      <c r="L221" s="12"/>
      <c r="M221" s="12"/>
      <c r="N221" s="12">
        <v>9228</v>
      </c>
      <c r="O221" s="12">
        <v>260237.037837757</v>
      </c>
      <c r="P221" s="12">
        <v>5759</v>
      </c>
      <c r="Q221" s="12">
        <v>11182</v>
      </c>
      <c r="R221" s="12">
        <v>2812</v>
      </c>
      <c r="S221" s="12"/>
      <c r="T221" s="12"/>
      <c r="U221" s="12">
        <v>4749</v>
      </c>
      <c r="V221" s="12">
        <v>2396</v>
      </c>
      <c r="W221" s="12">
        <v>2482</v>
      </c>
      <c r="X221" s="12">
        <v>2207</v>
      </c>
      <c r="Y221" s="12">
        <v>11186</v>
      </c>
      <c r="Z221" s="12">
        <v>196792051.69999999</v>
      </c>
      <c r="AA221" s="12">
        <v>461</v>
      </c>
      <c r="AB221" s="12">
        <v>1204</v>
      </c>
      <c r="AC221" s="12">
        <v>1852</v>
      </c>
      <c r="AD221" s="12">
        <v>450</v>
      </c>
      <c r="AE221" s="12"/>
      <c r="AF221" s="12"/>
      <c r="AG221" s="12"/>
      <c r="AH221" s="12">
        <v>39</v>
      </c>
      <c r="AI221" s="12"/>
      <c r="AJ221" s="12"/>
      <c r="AK221" s="12"/>
      <c r="AL221" s="12"/>
      <c r="AM221" s="12"/>
      <c r="AN221" s="12"/>
      <c r="AO221" s="12"/>
      <c r="AP221" s="12"/>
      <c r="AQ221" s="12"/>
      <c r="AR221" s="12"/>
      <c r="AS221" s="12"/>
      <c r="AT221" s="12"/>
      <c r="AU221" s="12"/>
      <c r="AV221" s="12"/>
      <c r="AW221" s="12"/>
      <c r="AX221" s="12"/>
      <c r="AY221" s="12"/>
    </row>
    <row r="222" spans="1:51">
      <c r="A222" s="39" t="s">
        <v>49</v>
      </c>
      <c r="B222" s="40">
        <v>17</v>
      </c>
      <c r="C222" s="39" t="s">
        <v>69</v>
      </c>
      <c r="D222" s="39" t="s">
        <v>15</v>
      </c>
      <c r="E222" s="39" t="s">
        <v>91</v>
      </c>
      <c r="F222" s="39">
        <v>2016</v>
      </c>
      <c r="G222" s="12">
        <v>4719</v>
      </c>
      <c r="H222" s="12">
        <v>2007</v>
      </c>
      <c r="I222" s="12">
        <v>2712</v>
      </c>
      <c r="J222" s="12">
        <v>37387</v>
      </c>
      <c r="K222" s="12">
        <v>72</v>
      </c>
      <c r="L222" s="12"/>
      <c r="M222" s="12"/>
      <c r="N222" s="12">
        <v>3808</v>
      </c>
      <c r="O222" s="12">
        <v>102090.35270232501</v>
      </c>
      <c r="P222" s="12">
        <v>2557</v>
      </c>
      <c r="Q222" s="12">
        <v>4599</v>
      </c>
      <c r="R222" s="12">
        <v>1143</v>
      </c>
      <c r="S222" s="12"/>
      <c r="T222" s="12"/>
      <c r="U222" s="12">
        <v>1832</v>
      </c>
      <c r="V222" s="12">
        <v>1040</v>
      </c>
      <c r="W222" s="12">
        <v>1130</v>
      </c>
      <c r="X222" s="12">
        <v>1030</v>
      </c>
      <c r="Y222" s="12">
        <v>4719</v>
      </c>
      <c r="Z222" s="12">
        <v>66564926.93</v>
      </c>
      <c r="AA222" s="12">
        <v>243</v>
      </c>
      <c r="AB222" s="12">
        <v>532</v>
      </c>
      <c r="AC222" s="12">
        <v>902</v>
      </c>
      <c r="AD222" s="12">
        <v>539</v>
      </c>
      <c r="AE222" s="12"/>
      <c r="AF222" s="12"/>
      <c r="AG222" s="12"/>
      <c r="AH222" s="12">
        <v>1860</v>
      </c>
      <c r="AI222" s="12"/>
      <c r="AJ222" s="12"/>
      <c r="AK222" s="12"/>
      <c r="AL222" s="12"/>
      <c r="AM222" s="12"/>
      <c r="AN222" s="12"/>
      <c r="AO222" s="12"/>
      <c r="AP222" s="12"/>
      <c r="AQ222" s="12"/>
      <c r="AR222" s="12"/>
      <c r="AS222" s="12"/>
      <c r="AT222" s="12"/>
      <c r="AU222" s="12"/>
      <c r="AV222" s="12"/>
      <c r="AW222" s="12"/>
      <c r="AX222" s="12"/>
      <c r="AY222" s="12"/>
    </row>
    <row r="223" spans="1:51">
      <c r="A223" s="39" t="s">
        <v>49</v>
      </c>
      <c r="B223" s="40">
        <v>18</v>
      </c>
      <c r="C223" s="39" t="s">
        <v>70</v>
      </c>
      <c r="D223" s="39" t="s">
        <v>16</v>
      </c>
      <c r="E223" s="39" t="s">
        <v>91</v>
      </c>
      <c r="F223" s="39">
        <v>2016</v>
      </c>
      <c r="G223" s="12">
        <v>3195</v>
      </c>
      <c r="H223" s="12">
        <v>1407</v>
      </c>
      <c r="I223" s="12">
        <v>1788</v>
      </c>
      <c r="J223" s="12">
        <v>23258</v>
      </c>
      <c r="K223" s="12">
        <v>61</v>
      </c>
      <c r="L223" s="12"/>
      <c r="M223" s="12"/>
      <c r="N223" s="12">
        <v>2775</v>
      </c>
      <c r="O223" s="12">
        <v>66472.42397422815</v>
      </c>
      <c r="P223" s="12">
        <v>1704</v>
      </c>
      <c r="Q223" s="12">
        <v>3019</v>
      </c>
      <c r="R223" s="12">
        <v>717</v>
      </c>
      <c r="S223" s="12"/>
      <c r="T223" s="12"/>
      <c r="U223" s="12">
        <v>1236</v>
      </c>
      <c r="V223" s="12">
        <v>639</v>
      </c>
      <c r="W223" s="12">
        <v>620</v>
      </c>
      <c r="X223" s="12">
        <v>600</v>
      </c>
      <c r="Y223" s="12">
        <v>3195</v>
      </c>
      <c r="Z223" s="12">
        <v>50186140.68</v>
      </c>
      <c r="AA223" s="12">
        <v>123</v>
      </c>
      <c r="AB223" s="12">
        <v>361</v>
      </c>
      <c r="AC223" s="12">
        <v>609</v>
      </c>
      <c r="AD223" s="12">
        <v>25</v>
      </c>
      <c r="AE223" s="12"/>
      <c r="AF223" s="12"/>
      <c r="AG223" s="12"/>
      <c r="AH223" s="12">
        <v>0</v>
      </c>
      <c r="AI223" s="12"/>
      <c r="AJ223" s="12"/>
      <c r="AK223" s="12"/>
      <c r="AL223" s="12"/>
      <c r="AM223" s="12"/>
      <c r="AN223" s="12"/>
      <c r="AO223" s="12"/>
      <c r="AP223" s="12"/>
      <c r="AQ223" s="12"/>
      <c r="AR223" s="12"/>
      <c r="AS223" s="12"/>
      <c r="AT223" s="12"/>
      <c r="AU223" s="12"/>
      <c r="AV223" s="12"/>
      <c r="AW223" s="12"/>
      <c r="AX223" s="12"/>
      <c r="AY223" s="12"/>
    </row>
    <row r="224" spans="1:51">
      <c r="A224" s="39" t="s">
        <v>49</v>
      </c>
      <c r="B224" s="40">
        <v>19</v>
      </c>
      <c r="C224" s="39" t="s">
        <v>71</v>
      </c>
      <c r="D224" s="39" t="s">
        <v>17</v>
      </c>
      <c r="E224" s="39" t="s">
        <v>91</v>
      </c>
      <c r="F224" s="39">
        <v>2016</v>
      </c>
      <c r="G224" s="12">
        <v>20067</v>
      </c>
      <c r="H224" s="12">
        <v>9082</v>
      </c>
      <c r="I224" s="12">
        <v>10985</v>
      </c>
      <c r="J224" s="12">
        <v>90665</v>
      </c>
      <c r="K224" s="12">
        <v>270</v>
      </c>
      <c r="L224" s="12"/>
      <c r="M224" s="12"/>
      <c r="N224" s="12">
        <v>16187</v>
      </c>
      <c r="O224" s="12">
        <v>264210.40940151631</v>
      </c>
      <c r="P224" s="12">
        <v>11690</v>
      </c>
      <c r="Q224" s="12">
        <v>18667</v>
      </c>
      <c r="R224" s="12">
        <v>4003</v>
      </c>
      <c r="S224" s="12"/>
      <c r="T224" s="12"/>
      <c r="U224" s="12">
        <v>7514</v>
      </c>
      <c r="V224" s="12">
        <v>3684</v>
      </c>
      <c r="W224" s="12">
        <v>3797</v>
      </c>
      <c r="X224" s="12">
        <v>3715</v>
      </c>
      <c r="Y224" s="12">
        <v>20067</v>
      </c>
      <c r="Z224" s="12">
        <v>206380341.27000001</v>
      </c>
      <c r="AA224" s="12">
        <v>989</v>
      </c>
      <c r="AB224" s="12">
        <v>1549</v>
      </c>
      <c r="AC224" s="12">
        <v>44247</v>
      </c>
      <c r="AD224" s="12">
        <v>1812</v>
      </c>
      <c r="AE224" s="12"/>
      <c r="AF224" s="12"/>
      <c r="AG224" s="12"/>
      <c r="AH224" s="12">
        <v>40750</v>
      </c>
      <c r="AI224" s="12">
        <v>459</v>
      </c>
      <c r="AJ224" s="12"/>
      <c r="AK224" s="12"/>
      <c r="AL224" s="12"/>
      <c r="AM224" s="12"/>
      <c r="AN224" s="12"/>
      <c r="AO224" s="12"/>
      <c r="AP224" s="12"/>
      <c r="AQ224" s="12"/>
      <c r="AR224" s="12"/>
      <c r="AS224" s="12"/>
      <c r="AT224" s="12"/>
      <c r="AU224" s="12"/>
      <c r="AV224" s="12"/>
      <c r="AW224" s="12"/>
      <c r="AX224" s="12"/>
      <c r="AY224" s="12"/>
    </row>
    <row r="225" spans="1:51">
      <c r="A225" s="39" t="s">
        <v>50</v>
      </c>
      <c r="B225" s="40">
        <v>20</v>
      </c>
      <c r="C225" s="39" t="s">
        <v>85</v>
      </c>
      <c r="D225" s="39" t="s">
        <v>28</v>
      </c>
      <c r="E225" s="39" t="s">
        <v>91</v>
      </c>
      <c r="F225" s="39">
        <v>2016</v>
      </c>
      <c r="G225" s="12">
        <v>6379</v>
      </c>
      <c r="H225" s="12">
        <v>2505</v>
      </c>
      <c r="I225" s="12">
        <v>3874</v>
      </c>
      <c r="J225" s="12">
        <v>64804</v>
      </c>
      <c r="K225" s="12">
        <v>127</v>
      </c>
      <c r="L225" s="12"/>
      <c r="M225" s="12"/>
      <c r="N225" s="12">
        <v>5165</v>
      </c>
      <c r="O225" s="12">
        <v>238629.8246244514</v>
      </c>
      <c r="P225" s="12">
        <v>3009</v>
      </c>
      <c r="Q225" s="12">
        <v>6301</v>
      </c>
      <c r="R225" s="12">
        <v>1392</v>
      </c>
      <c r="S225" s="12"/>
      <c r="T225" s="12"/>
      <c r="U225" s="12">
        <v>2396</v>
      </c>
      <c r="V225" s="12">
        <v>1203</v>
      </c>
      <c r="W225" s="12">
        <v>1316</v>
      </c>
      <c r="X225" s="12">
        <v>791</v>
      </c>
      <c r="Y225" s="12">
        <v>6379</v>
      </c>
      <c r="Z225" s="12">
        <v>161102864.30000001</v>
      </c>
      <c r="AA225" s="12">
        <v>392</v>
      </c>
      <c r="AB225" s="12">
        <v>637</v>
      </c>
      <c r="AC225" s="12">
        <v>2334</v>
      </c>
      <c r="AD225" s="12">
        <v>26</v>
      </c>
      <c r="AE225" s="12"/>
      <c r="AF225" s="12"/>
      <c r="AG225" s="12"/>
      <c r="AH225" s="12">
        <v>70</v>
      </c>
      <c r="AI225" s="12"/>
      <c r="AJ225" s="12"/>
      <c r="AK225" s="12"/>
      <c r="AL225" s="12"/>
      <c r="AM225" s="12"/>
      <c r="AN225" s="12"/>
      <c r="AO225" s="12"/>
      <c r="AP225" s="12"/>
      <c r="AQ225" s="12"/>
      <c r="AR225" s="12"/>
      <c r="AS225" s="12"/>
      <c r="AT225" s="12"/>
      <c r="AU225" s="12"/>
      <c r="AV225" s="12"/>
      <c r="AW225" s="12"/>
      <c r="AX225" s="12"/>
      <c r="AY225" s="12"/>
    </row>
    <row r="226" spans="1:51">
      <c r="A226" s="39" t="s">
        <v>49</v>
      </c>
      <c r="B226" s="40">
        <v>21</v>
      </c>
      <c r="C226" s="39" t="s">
        <v>72</v>
      </c>
      <c r="D226" s="39" t="s">
        <v>18</v>
      </c>
      <c r="E226" s="39" t="s">
        <v>91</v>
      </c>
      <c r="F226" s="39">
        <v>2016</v>
      </c>
      <c r="G226" s="12">
        <v>7260</v>
      </c>
      <c r="H226" s="12">
        <v>2814</v>
      </c>
      <c r="I226" s="12">
        <v>4446</v>
      </c>
      <c r="J226" s="12">
        <v>112511</v>
      </c>
      <c r="K226" s="12">
        <v>161</v>
      </c>
      <c r="L226" s="12"/>
      <c r="M226" s="12"/>
      <c r="N226" s="12">
        <v>6045</v>
      </c>
      <c r="O226" s="12">
        <v>365819.68174850667</v>
      </c>
      <c r="P226" s="12">
        <v>3966</v>
      </c>
      <c r="Q226" s="12">
        <v>7128</v>
      </c>
      <c r="R226" s="12">
        <v>1880</v>
      </c>
      <c r="S226" s="12"/>
      <c r="T226" s="12"/>
      <c r="U226" s="12">
        <v>2813</v>
      </c>
      <c r="V226" s="12">
        <v>1681</v>
      </c>
      <c r="W226" s="12">
        <v>1602</v>
      </c>
      <c r="X226" s="12">
        <v>1494</v>
      </c>
      <c r="Y226" s="12">
        <v>7260</v>
      </c>
      <c r="Z226" s="12">
        <v>142747445.18000001</v>
      </c>
      <c r="AA226" s="12">
        <v>396</v>
      </c>
      <c r="AB226" s="12">
        <v>1005</v>
      </c>
      <c r="AC226" s="12">
        <v>5771</v>
      </c>
      <c r="AD226" s="12">
        <v>160</v>
      </c>
      <c r="AE226" s="12"/>
      <c r="AF226" s="12"/>
      <c r="AG226" s="12"/>
      <c r="AH226" s="12">
        <v>3613</v>
      </c>
      <c r="AI226" s="12"/>
      <c r="AJ226" s="12"/>
      <c r="AK226" s="12"/>
      <c r="AL226" s="12"/>
      <c r="AM226" s="12"/>
      <c r="AN226" s="12"/>
      <c r="AO226" s="12"/>
      <c r="AP226" s="12"/>
      <c r="AQ226" s="12"/>
      <c r="AR226" s="12"/>
      <c r="AS226" s="12"/>
      <c r="AT226" s="12"/>
      <c r="AU226" s="12"/>
      <c r="AV226" s="12"/>
      <c r="AW226" s="12"/>
      <c r="AX226" s="12"/>
      <c r="AY226" s="12"/>
    </row>
    <row r="227" spans="1:51">
      <c r="A227" s="39" t="s">
        <v>49</v>
      </c>
      <c r="B227" s="40">
        <v>22</v>
      </c>
      <c r="C227" s="39" t="s">
        <v>73</v>
      </c>
      <c r="D227" s="39" t="s">
        <v>29</v>
      </c>
      <c r="E227" s="39" t="s">
        <v>91</v>
      </c>
      <c r="F227" s="39">
        <v>2016</v>
      </c>
      <c r="G227" s="12">
        <v>3418</v>
      </c>
      <c r="H227" s="12">
        <v>1359</v>
      </c>
      <c r="I227" s="12">
        <v>2059</v>
      </c>
      <c r="J227" s="12">
        <v>38223</v>
      </c>
      <c r="K227" s="12">
        <v>66</v>
      </c>
      <c r="L227" s="12"/>
      <c r="M227" s="12"/>
      <c r="N227" s="12">
        <v>2773</v>
      </c>
      <c r="O227" s="12">
        <v>113220.15701172216</v>
      </c>
      <c r="P227" s="12">
        <v>2344</v>
      </c>
      <c r="Q227" s="12">
        <v>3482</v>
      </c>
      <c r="R227" s="12">
        <v>806</v>
      </c>
      <c r="S227" s="12"/>
      <c r="T227" s="12"/>
      <c r="U227" s="12">
        <v>1347</v>
      </c>
      <c r="V227" s="12">
        <v>754</v>
      </c>
      <c r="W227" s="12">
        <v>715</v>
      </c>
      <c r="X227" s="12">
        <v>670</v>
      </c>
      <c r="Y227" s="12">
        <v>3418</v>
      </c>
      <c r="Z227" s="12">
        <v>44110957.090000004</v>
      </c>
      <c r="AA227" s="12">
        <v>273</v>
      </c>
      <c r="AB227" s="12">
        <v>449</v>
      </c>
      <c r="AC227" s="12">
        <v>1056</v>
      </c>
      <c r="AD227" s="12">
        <v>99</v>
      </c>
      <c r="AE227" s="12"/>
      <c r="AF227" s="12"/>
      <c r="AG227" s="12"/>
      <c r="AH227" s="12">
        <v>7</v>
      </c>
      <c r="AI227" s="12"/>
      <c r="AJ227" s="12"/>
      <c r="AK227" s="12"/>
      <c r="AL227" s="12"/>
      <c r="AM227" s="12"/>
      <c r="AN227" s="12"/>
      <c r="AO227" s="12"/>
      <c r="AP227" s="12"/>
      <c r="AQ227" s="12"/>
      <c r="AR227" s="12"/>
      <c r="AS227" s="12"/>
      <c r="AT227" s="12"/>
      <c r="AU227" s="12"/>
      <c r="AV227" s="12"/>
      <c r="AW227" s="12"/>
      <c r="AX227" s="12"/>
      <c r="AY227" s="12"/>
    </row>
    <row r="228" spans="1:51">
      <c r="A228" s="39" t="s">
        <v>49</v>
      </c>
      <c r="B228" s="40">
        <v>23</v>
      </c>
      <c r="C228" s="39" t="s">
        <v>74</v>
      </c>
      <c r="D228" s="39" t="s">
        <v>19</v>
      </c>
      <c r="E228" s="39" t="s">
        <v>91</v>
      </c>
      <c r="F228" s="39">
        <v>2016</v>
      </c>
      <c r="G228" s="12">
        <v>8129</v>
      </c>
      <c r="H228" s="12">
        <v>3453</v>
      </c>
      <c r="I228" s="12">
        <v>4676</v>
      </c>
      <c r="J228" s="12">
        <v>25788</v>
      </c>
      <c r="K228" s="12">
        <v>109</v>
      </c>
      <c r="L228" s="12"/>
      <c r="M228" s="12"/>
      <c r="N228" s="12">
        <v>6630</v>
      </c>
      <c r="O228" s="12">
        <v>83021.163387304725</v>
      </c>
      <c r="P228" s="12">
        <v>4139</v>
      </c>
      <c r="Q228" s="12">
        <v>8052</v>
      </c>
      <c r="R228" s="12">
        <v>2031</v>
      </c>
      <c r="S228" s="12"/>
      <c r="T228" s="12"/>
      <c r="U228" s="12">
        <v>3422</v>
      </c>
      <c r="V228" s="12">
        <v>1830</v>
      </c>
      <c r="W228" s="12">
        <v>2146</v>
      </c>
      <c r="X228" s="12">
        <v>2025</v>
      </c>
      <c r="Y228" s="12">
        <v>8129</v>
      </c>
      <c r="Z228" s="12">
        <v>95403303.569999993</v>
      </c>
      <c r="AA228" s="12">
        <v>403</v>
      </c>
      <c r="AB228" s="12">
        <v>771</v>
      </c>
      <c r="AC228" s="12">
        <v>101</v>
      </c>
      <c r="AD228" s="12">
        <v>13</v>
      </c>
      <c r="AE228" s="12"/>
      <c r="AF228" s="12"/>
      <c r="AG228" s="12"/>
      <c r="AH228" s="12">
        <v>73</v>
      </c>
      <c r="AI228" s="12"/>
      <c r="AJ228" s="12"/>
      <c r="AK228" s="12"/>
      <c r="AL228" s="12"/>
      <c r="AM228" s="12"/>
      <c r="AN228" s="12"/>
      <c r="AO228" s="12"/>
      <c r="AP228" s="12"/>
      <c r="AQ228" s="12"/>
      <c r="AR228" s="12"/>
      <c r="AS228" s="12"/>
      <c r="AT228" s="12"/>
      <c r="AU228" s="12"/>
      <c r="AV228" s="12"/>
      <c r="AW228" s="12"/>
      <c r="AX228" s="12"/>
      <c r="AY228" s="12"/>
    </row>
    <row r="229" spans="1:51">
      <c r="A229" s="39" t="s">
        <v>49</v>
      </c>
      <c r="B229" s="40">
        <v>24</v>
      </c>
      <c r="C229" s="39" t="s">
        <v>75</v>
      </c>
      <c r="D229" s="39" t="s">
        <v>20</v>
      </c>
      <c r="E229" s="39" t="s">
        <v>91</v>
      </c>
      <c r="F229" s="39">
        <v>2016</v>
      </c>
      <c r="G229" s="12">
        <v>5400</v>
      </c>
      <c r="H229" s="12">
        <v>2244</v>
      </c>
      <c r="I229" s="12">
        <v>3156</v>
      </c>
      <c r="J229" s="12">
        <v>49538</v>
      </c>
      <c r="K229" s="12">
        <v>90</v>
      </c>
      <c r="L229" s="12"/>
      <c r="M229" s="12"/>
      <c r="N229" s="12">
        <v>4212</v>
      </c>
      <c r="O229" s="12">
        <v>160457.85376460687</v>
      </c>
      <c r="P229" s="12">
        <v>2723</v>
      </c>
      <c r="Q229" s="12">
        <v>5220</v>
      </c>
      <c r="R229" s="12">
        <v>1143</v>
      </c>
      <c r="S229" s="12"/>
      <c r="T229" s="12"/>
      <c r="U229" s="12">
        <v>2113</v>
      </c>
      <c r="V229" s="12">
        <v>980</v>
      </c>
      <c r="W229" s="12">
        <v>1065</v>
      </c>
      <c r="X229" s="12">
        <v>1005</v>
      </c>
      <c r="Y229" s="12">
        <v>5400</v>
      </c>
      <c r="Z229" s="12">
        <v>83475628.680000007</v>
      </c>
      <c r="AA229" s="12">
        <v>288</v>
      </c>
      <c r="AB229" s="12">
        <v>427</v>
      </c>
      <c r="AC229" s="12">
        <v>4290</v>
      </c>
      <c r="AD229" s="12">
        <v>71</v>
      </c>
      <c r="AE229" s="12"/>
      <c r="AF229" s="12"/>
      <c r="AG229" s="12"/>
      <c r="AH229" s="12">
        <v>282</v>
      </c>
      <c r="AI229" s="12"/>
      <c r="AJ229" s="12"/>
      <c r="AK229" s="12"/>
      <c r="AL229" s="12"/>
      <c r="AM229" s="12"/>
      <c r="AN229" s="12"/>
      <c r="AO229" s="12"/>
      <c r="AP229" s="12"/>
      <c r="AQ229" s="12"/>
      <c r="AR229" s="12"/>
      <c r="AS229" s="12"/>
      <c r="AT229" s="12"/>
      <c r="AU229" s="12"/>
      <c r="AV229" s="12"/>
      <c r="AW229" s="12"/>
      <c r="AX229" s="12"/>
      <c r="AY229" s="12"/>
    </row>
    <row r="230" spans="1:51">
      <c r="A230" s="39" t="s">
        <v>49</v>
      </c>
      <c r="B230" s="40">
        <v>25</v>
      </c>
      <c r="C230" s="39" t="s">
        <v>76</v>
      </c>
      <c r="D230" s="39" t="s">
        <v>21</v>
      </c>
      <c r="E230" s="39" t="s">
        <v>91</v>
      </c>
      <c r="F230" s="39">
        <v>2016</v>
      </c>
      <c r="G230" s="12">
        <v>7854</v>
      </c>
      <c r="H230" s="12">
        <v>2997</v>
      </c>
      <c r="I230" s="12">
        <v>4857</v>
      </c>
      <c r="J230" s="12">
        <v>43587</v>
      </c>
      <c r="K230" s="12">
        <v>216</v>
      </c>
      <c r="L230" s="12"/>
      <c r="M230" s="12"/>
      <c r="N230" s="12">
        <v>6793</v>
      </c>
      <c r="O230" s="12">
        <v>164736.19777176625</v>
      </c>
      <c r="P230" s="12">
        <v>3401</v>
      </c>
      <c r="Q230" s="12">
        <v>8506</v>
      </c>
      <c r="R230" s="12">
        <v>2539</v>
      </c>
      <c r="S230" s="12"/>
      <c r="T230" s="12"/>
      <c r="U230" s="12">
        <v>3734</v>
      </c>
      <c r="V230" s="12">
        <v>2335</v>
      </c>
      <c r="W230" s="12">
        <v>2267</v>
      </c>
      <c r="X230" s="12">
        <v>2224</v>
      </c>
      <c r="Y230" s="12">
        <v>7854</v>
      </c>
      <c r="Z230" s="12">
        <v>211443635.19</v>
      </c>
      <c r="AA230" s="12">
        <v>525</v>
      </c>
      <c r="AB230" s="12">
        <v>1117</v>
      </c>
      <c r="AC230" s="12">
        <v>331</v>
      </c>
      <c r="AD230" s="12">
        <v>53</v>
      </c>
      <c r="AE230" s="12"/>
      <c r="AF230" s="12"/>
      <c r="AG230" s="12"/>
      <c r="AH230" s="12">
        <v>12</v>
      </c>
      <c r="AI230" s="12"/>
      <c r="AJ230" s="12"/>
      <c r="AK230" s="12"/>
      <c r="AL230" s="12"/>
      <c r="AM230" s="12"/>
      <c r="AN230" s="12"/>
      <c r="AO230" s="12"/>
      <c r="AP230" s="12"/>
      <c r="AQ230" s="12"/>
      <c r="AR230" s="12"/>
      <c r="AS230" s="12"/>
      <c r="AT230" s="12"/>
      <c r="AU230" s="12"/>
      <c r="AV230" s="12"/>
      <c r="AW230" s="12"/>
      <c r="AX230" s="12"/>
      <c r="AY230" s="12"/>
    </row>
    <row r="231" spans="1:51">
      <c r="A231" s="39" t="s">
        <v>49</v>
      </c>
      <c r="B231" s="40">
        <v>26</v>
      </c>
      <c r="C231" s="39" t="s">
        <v>77</v>
      </c>
      <c r="D231" s="39" t="s">
        <v>22</v>
      </c>
      <c r="E231" s="39" t="s">
        <v>91</v>
      </c>
      <c r="F231" s="39">
        <v>2016</v>
      </c>
      <c r="G231" s="12">
        <v>15385</v>
      </c>
      <c r="H231" s="12">
        <v>7175</v>
      </c>
      <c r="I231" s="12">
        <v>8210</v>
      </c>
      <c r="J231" s="12">
        <v>59864</v>
      </c>
      <c r="K231" s="12">
        <v>258</v>
      </c>
      <c r="L231" s="12"/>
      <c r="M231" s="12"/>
      <c r="N231" s="12">
        <v>12734</v>
      </c>
      <c r="O231" s="12">
        <v>159265.55746443506</v>
      </c>
      <c r="P231" s="12">
        <v>7310</v>
      </c>
      <c r="Q231" s="12">
        <v>14044</v>
      </c>
      <c r="R231" s="12">
        <v>2786</v>
      </c>
      <c r="S231" s="12"/>
      <c r="T231" s="12"/>
      <c r="U231" s="12">
        <v>5501</v>
      </c>
      <c r="V231" s="12">
        <v>2385</v>
      </c>
      <c r="W231" s="12">
        <v>2143</v>
      </c>
      <c r="X231" s="12">
        <v>1816</v>
      </c>
      <c r="Y231" s="12">
        <v>15385</v>
      </c>
      <c r="Z231" s="12">
        <v>214571296.80000001</v>
      </c>
      <c r="AA231" s="12">
        <v>570</v>
      </c>
      <c r="AB231" s="12">
        <v>857</v>
      </c>
      <c r="AC231" s="12">
        <v>7200</v>
      </c>
      <c r="AD231" s="12">
        <v>587</v>
      </c>
      <c r="AE231" s="12"/>
      <c r="AF231" s="12"/>
      <c r="AG231" s="12"/>
      <c r="AH231" s="12">
        <v>0</v>
      </c>
      <c r="AI231" s="12"/>
      <c r="AJ231" s="12"/>
      <c r="AK231" s="12"/>
      <c r="AL231" s="12"/>
      <c r="AM231" s="12"/>
      <c r="AN231" s="12"/>
      <c r="AO231" s="12"/>
      <c r="AP231" s="12"/>
      <c r="AQ231" s="12"/>
      <c r="AR231" s="12"/>
      <c r="AS231" s="12"/>
      <c r="AT231" s="12"/>
      <c r="AU231" s="12"/>
      <c r="AV231" s="12"/>
      <c r="AW231" s="12"/>
      <c r="AX231" s="12"/>
      <c r="AY231" s="12"/>
    </row>
    <row r="232" spans="1:51">
      <c r="A232" s="39" t="s">
        <v>49</v>
      </c>
      <c r="B232" s="40">
        <v>27</v>
      </c>
      <c r="C232" s="39" t="s">
        <v>78</v>
      </c>
      <c r="D232" s="39" t="s">
        <v>23</v>
      </c>
      <c r="E232" s="39" t="s">
        <v>91</v>
      </c>
      <c r="F232" s="39">
        <v>2016</v>
      </c>
      <c r="G232" s="12">
        <v>5584</v>
      </c>
      <c r="H232" s="12">
        <v>2109</v>
      </c>
      <c r="I232" s="12">
        <v>3475</v>
      </c>
      <c r="J232" s="12">
        <v>41493</v>
      </c>
      <c r="K232" s="12">
        <v>76</v>
      </c>
      <c r="L232" s="12"/>
      <c r="M232" s="12"/>
      <c r="N232" s="12">
        <v>4726</v>
      </c>
      <c r="O232" s="12">
        <v>133909.77929229953</v>
      </c>
      <c r="P232" s="12">
        <v>2169</v>
      </c>
      <c r="Q232" s="12">
        <v>5739</v>
      </c>
      <c r="R232" s="12">
        <v>1492</v>
      </c>
      <c r="S232" s="12"/>
      <c r="T232" s="12"/>
      <c r="U232" s="12">
        <v>2164</v>
      </c>
      <c r="V232" s="12">
        <v>1341</v>
      </c>
      <c r="W232" s="12">
        <v>1319</v>
      </c>
      <c r="X232" s="12">
        <v>1268</v>
      </c>
      <c r="Y232" s="12">
        <v>5584</v>
      </c>
      <c r="Z232" s="12">
        <v>106609849.48</v>
      </c>
      <c r="AA232" s="12">
        <v>293</v>
      </c>
      <c r="AB232" s="12">
        <v>484</v>
      </c>
      <c r="AC232" s="12">
        <v>1976</v>
      </c>
      <c r="AD232" s="12">
        <v>129</v>
      </c>
      <c r="AE232" s="12"/>
      <c r="AF232" s="12"/>
      <c r="AG232" s="12"/>
      <c r="AH232" s="12">
        <v>28</v>
      </c>
      <c r="AI232" s="12"/>
      <c r="AJ232" s="12"/>
      <c r="AK232" s="12"/>
      <c r="AL232" s="12"/>
      <c r="AM232" s="12"/>
      <c r="AN232" s="12"/>
      <c r="AO232" s="12"/>
      <c r="AP232" s="12"/>
      <c r="AQ232" s="12"/>
      <c r="AR232" s="12"/>
      <c r="AS232" s="12"/>
      <c r="AT232" s="12"/>
      <c r="AU232" s="12"/>
      <c r="AV232" s="12"/>
      <c r="AW232" s="12"/>
      <c r="AX232" s="12"/>
      <c r="AY232" s="12"/>
    </row>
    <row r="233" spans="1:51">
      <c r="A233" s="39" t="s">
        <v>49</v>
      </c>
      <c r="B233" s="40">
        <v>28</v>
      </c>
      <c r="C233" s="39" t="s">
        <v>79</v>
      </c>
      <c r="D233" s="39" t="s">
        <v>24</v>
      </c>
      <c r="E233" s="39" t="s">
        <v>91</v>
      </c>
      <c r="F233" s="39">
        <v>2016</v>
      </c>
      <c r="G233" s="12">
        <v>8929</v>
      </c>
      <c r="H233" s="12">
        <v>3648</v>
      </c>
      <c r="I233" s="12">
        <v>5281</v>
      </c>
      <c r="J233" s="12">
        <v>57183</v>
      </c>
      <c r="K233" s="12">
        <v>157</v>
      </c>
      <c r="L233" s="12"/>
      <c r="M233" s="12"/>
      <c r="N233" s="12">
        <v>7552</v>
      </c>
      <c r="O233" s="12">
        <v>187483.87275360705</v>
      </c>
      <c r="P233" s="12">
        <v>4049</v>
      </c>
      <c r="Q233" s="12">
        <v>9004</v>
      </c>
      <c r="R233" s="12">
        <v>2056</v>
      </c>
      <c r="S233" s="12"/>
      <c r="T233" s="12"/>
      <c r="U233" s="12">
        <v>3644</v>
      </c>
      <c r="V233" s="12">
        <v>1856</v>
      </c>
      <c r="W233" s="12">
        <v>2058</v>
      </c>
      <c r="X233" s="12">
        <v>1851</v>
      </c>
      <c r="Y233" s="12">
        <v>8929</v>
      </c>
      <c r="Z233" s="12">
        <v>165592499.62</v>
      </c>
      <c r="AA233" s="12">
        <v>397</v>
      </c>
      <c r="AB233" s="12">
        <v>1077</v>
      </c>
      <c r="AC233" s="12">
        <v>3556</v>
      </c>
      <c r="AD233" s="12">
        <v>82</v>
      </c>
      <c r="AE233" s="12"/>
      <c r="AF233" s="12"/>
      <c r="AG233" s="12"/>
      <c r="AH233" s="12">
        <v>110</v>
      </c>
      <c r="AI233" s="12">
        <v>692</v>
      </c>
      <c r="AJ233" s="12"/>
      <c r="AK233" s="12"/>
      <c r="AL233" s="12"/>
      <c r="AM233" s="12"/>
      <c r="AN233" s="12"/>
      <c r="AO233" s="12"/>
      <c r="AP233" s="12"/>
      <c r="AQ233" s="12"/>
      <c r="AR233" s="12"/>
      <c r="AS233" s="12"/>
      <c r="AT233" s="12"/>
      <c r="AU233" s="12"/>
      <c r="AV233" s="12"/>
      <c r="AW233" s="12"/>
      <c r="AX233" s="12"/>
      <c r="AY233" s="12"/>
    </row>
    <row r="234" spans="1:51">
      <c r="A234" s="39" t="s">
        <v>49</v>
      </c>
      <c r="B234" s="40">
        <v>29</v>
      </c>
      <c r="C234" s="39" t="s">
        <v>80</v>
      </c>
      <c r="D234" s="39" t="s">
        <v>25</v>
      </c>
      <c r="E234" s="39" t="s">
        <v>91</v>
      </c>
      <c r="F234" s="39">
        <v>2016</v>
      </c>
      <c r="G234" s="12">
        <v>3036</v>
      </c>
      <c r="H234" s="12">
        <v>1333</v>
      </c>
      <c r="I234" s="12">
        <v>1703</v>
      </c>
      <c r="J234" s="12">
        <v>24542</v>
      </c>
      <c r="K234" s="12">
        <v>48</v>
      </c>
      <c r="L234" s="12"/>
      <c r="M234" s="12"/>
      <c r="N234" s="12">
        <v>2707</v>
      </c>
      <c r="O234" s="12">
        <v>74007.270653160027</v>
      </c>
      <c r="P234" s="12">
        <v>1482</v>
      </c>
      <c r="Q234" s="12">
        <v>2848</v>
      </c>
      <c r="R234" s="12">
        <v>730</v>
      </c>
      <c r="S234" s="12"/>
      <c r="T234" s="12"/>
      <c r="U234" s="12">
        <v>1269</v>
      </c>
      <c r="V234" s="12">
        <v>604</v>
      </c>
      <c r="W234" s="12">
        <v>655</v>
      </c>
      <c r="X234" s="12">
        <v>653</v>
      </c>
      <c r="Y234" s="12">
        <v>3036</v>
      </c>
      <c r="Z234" s="12">
        <v>40424161.539999999</v>
      </c>
      <c r="AA234" s="12">
        <v>172</v>
      </c>
      <c r="AB234" s="12">
        <v>455</v>
      </c>
      <c r="AC234" s="12">
        <v>59</v>
      </c>
      <c r="AD234" s="12">
        <v>42</v>
      </c>
      <c r="AE234" s="12"/>
      <c r="AF234" s="12"/>
      <c r="AG234" s="12"/>
      <c r="AH234" s="12">
        <v>56</v>
      </c>
      <c r="AI234" s="12"/>
      <c r="AJ234" s="12"/>
      <c r="AK234" s="12"/>
      <c r="AL234" s="12"/>
      <c r="AM234" s="12"/>
      <c r="AN234" s="12"/>
      <c r="AO234" s="12"/>
      <c r="AP234" s="12"/>
      <c r="AQ234" s="12"/>
      <c r="AR234" s="12"/>
      <c r="AS234" s="12"/>
      <c r="AT234" s="12"/>
      <c r="AU234" s="12"/>
      <c r="AV234" s="12"/>
      <c r="AW234" s="12"/>
      <c r="AX234" s="12"/>
      <c r="AY234" s="12"/>
    </row>
    <row r="235" spans="1:51">
      <c r="A235" s="39" t="s">
        <v>49</v>
      </c>
      <c r="B235" s="40">
        <v>30</v>
      </c>
      <c r="C235" s="39" t="s">
        <v>81</v>
      </c>
      <c r="D235" s="39" t="s">
        <v>53</v>
      </c>
      <c r="E235" s="39" t="s">
        <v>91</v>
      </c>
      <c r="F235" s="39">
        <v>2016</v>
      </c>
      <c r="G235" s="12">
        <v>9302</v>
      </c>
      <c r="H235" s="12">
        <v>3448</v>
      </c>
      <c r="I235" s="12">
        <v>5854</v>
      </c>
      <c r="J235" s="12">
        <v>139073</v>
      </c>
      <c r="K235" s="12">
        <v>176</v>
      </c>
      <c r="L235" s="12"/>
      <c r="M235" s="12"/>
      <c r="N235" s="12">
        <v>7792</v>
      </c>
      <c r="O235" s="12">
        <v>442000.15162501682</v>
      </c>
      <c r="P235" s="12">
        <v>5408</v>
      </c>
      <c r="Q235" s="12">
        <v>9327</v>
      </c>
      <c r="R235" s="12">
        <v>2338</v>
      </c>
      <c r="S235" s="12"/>
      <c r="T235" s="12"/>
      <c r="U235" s="12">
        <v>3472</v>
      </c>
      <c r="V235" s="12">
        <v>2121</v>
      </c>
      <c r="W235" s="12">
        <v>2271</v>
      </c>
      <c r="X235" s="12">
        <v>2135</v>
      </c>
      <c r="Y235" s="12">
        <v>9302</v>
      </c>
      <c r="Z235" s="12">
        <v>217163897.13</v>
      </c>
      <c r="AA235" s="12">
        <v>553</v>
      </c>
      <c r="AB235" s="12">
        <v>1543</v>
      </c>
      <c r="AC235" s="12">
        <v>5370</v>
      </c>
      <c r="AD235" s="12">
        <v>280</v>
      </c>
      <c r="AE235" s="12"/>
      <c r="AF235" s="12"/>
      <c r="AG235" s="12"/>
      <c r="AH235" s="12">
        <v>499</v>
      </c>
      <c r="AI235" s="12">
        <v>601</v>
      </c>
      <c r="AJ235" s="12"/>
      <c r="AK235" s="12"/>
      <c r="AL235" s="12"/>
      <c r="AM235" s="12"/>
      <c r="AN235" s="12"/>
      <c r="AO235" s="12"/>
      <c r="AP235" s="12"/>
      <c r="AQ235" s="12"/>
      <c r="AR235" s="12"/>
      <c r="AS235" s="12"/>
      <c r="AT235" s="12"/>
      <c r="AU235" s="12"/>
      <c r="AV235" s="12"/>
      <c r="AW235" s="12"/>
      <c r="AX235" s="12"/>
      <c r="AY235" s="12"/>
    </row>
    <row r="236" spans="1:51">
      <c r="A236" s="39" t="s">
        <v>49</v>
      </c>
      <c r="B236" s="40">
        <v>31</v>
      </c>
      <c r="C236" s="39" t="s">
        <v>82</v>
      </c>
      <c r="D236" s="39" t="s">
        <v>26</v>
      </c>
      <c r="E236" s="39" t="s">
        <v>91</v>
      </c>
      <c r="F236" s="39">
        <v>2016</v>
      </c>
      <c r="G236" s="12">
        <v>5114</v>
      </c>
      <c r="H236" s="12">
        <v>2046</v>
      </c>
      <c r="I236" s="12">
        <v>3068</v>
      </c>
      <c r="J236" s="12">
        <v>33197</v>
      </c>
      <c r="K236" s="12">
        <v>69</v>
      </c>
      <c r="L236" s="12"/>
      <c r="M236" s="12"/>
      <c r="N236" s="12">
        <v>3718</v>
      </c>
      <c r="O236" s="12">
        <v>110921.77471538878</v>
      </c>
      <c r="P236" s="12">
        <v>2642</v>
      </c>
      <c r="Q236" s="12">
        <v>4839</v>
      </c>
      <c r="R236" s="12">
        <v>1110</v>
      </c>
      <c r="S236" s="12"/>
      <c r="T236" s="12"/>
      <c r="U236" s="12">
        <v>1841</v>
      </c>
      <c r="V236" s="12">
        <v>982</v>
      </c>
      <c r="W236" s="12">
        <v>899</v>
      </c>
      <c r="X236" s="12">
        <v>739</v>
      </c>
      <c r="Y236" s="12">
        <v>5114</v>
      </c>
      <c r="Z236" s="12">
        <v>96311307.430000007</v>
      </c>
      <c r="AA236" s="12">
        <v>271</v>
      </c>
      <c r="AB236" s="12">
        <v>484</v>
      </c>
      <c r="AC236" s="12">
        <v>3318</v>
      </c>
      <c r="AD236" s="12">
        <v>472</v>
      </c>
      <c r="AE236" s="12"/>
      <c r="AF236" s="12"/>
      <c r="AG236" s="12"/>
      <c r="AH236" s="12">
        <v>132</v>
      </c>
      <c r="AI236" s="12"/>
      <c r="AJ236" s="12"/>
      <c r="AK236" s="12"/>
      <c r="AL236" s="12"/>
      <c r="AM236" s="12"/>
      <c r="AN236" s="12"/>
      <c r="AO236" s="12"/>
      <c r="AP236" s="12"/>
      <c r="AQ236" s="12"/>
      <c r="AR236" s="12"/>
      <c r="AS236" s="12"/>
      <c r="AT236" s="12"/>
      <c r="AU236" s="12"/>
      <c r="AV236" s="12"/>
      <c r="AW236" s="12"/>
      <c r="AX236" s="12"/>
      <c r="AY236" s="12"/>
    </row>
    <row r="237" spans="1:51">
      <c r="A237" s="39" t="s">
        <v>49</v>
      </c>
      <c r="B237" s="40">
        <v>32</v>
      </c>
      <c r="C237" s="39" t="s">
        <v>83</v>
      </c>
      <c r="D237" s="39" t="s">
        <v>27</v>
      </c>
      <c r="E237" s="39" t="s">
        <v>91</v>
      </c>
      <c r="F237" s="39">
        <v>2016</v>
      </c>
      <c r="G237" s="12">
        <v>1610</v>
      </c>
      <c r="H237" s="12">
        <v>736</v>
      </c>
      <c r="I237" s="12">
        <v>874</v>
      </c>
      <c r="J237" s="12">
        <v>30072</v>
      </c>
      <c r="K237" s="12">
        <v>51</v>
      </c>
      <c r="L237" s="12"/>
      <c r="M237" s="12"/>
      <c r="N237" s="12">
        <v>1243</v>
      </c>
      <c r="O237" s="12">
        <v>90115.842866702355</v>
      </c>
      <c r="P237" s="12">
        <v>812</v>
      </c>
      <c r="Q237" s="12">
        <v>1719</v>
      </c>
      <c r="R237" s="12">
        <v>348</v>
      </c>
      <c r="S237" s="12"/>
      <c r="T237" s="12"/>
      <c r="U237" s="12">
        <v>801</v>
      </c>
      <c r="V237" s="12">
        <v>292</v>
      </c>
      <c r="W237" s="12">
        <v>267</v>
      </c>
      <c r="X237" s="12">
        <v>256</v>
      </c>
      <c r="Y237" s="12">
        <v>1610</v>
      </c>
      <c r="Z237" s="12">
        <v>35206510.600000001</v>
      </c>
      <c r="AA237" s="12">
        <v>76</v>
      </c>
      <c r="AB237" s="12">
        <v>197</v>
      </c>
      <c r="AC237" s="12">
        <v>543</v>
      </c>
      <c r="AD237" s="12">
        <v>151</v>
      </c>
      <c r="AE237" s="12"/>
      <c r="AF237" s="12"/>
      <c r="AG237" s="12"/>
      <c r="AH237" s="12">
        <v>0</v>
      </c>
      <c r="AI237" s="12"/>
      <c r="AJ237" s="12"/>
      <c r="AK237" s="12"/>
      <c r="AL237" s="12"/>
      <c r="AM237" s="12"/>
      <c r="AN237" s="12"/>
      <c r="AO237" s="12"/>
      <c r="AP237" s="12"/>
      <c r="AQ237" s="12"/>
      <c r="AR237" s="12"/>
      <c r="AS237" s="12"/>
      <c r="AT237" s="12"/>
      <c r="AU237" s="12"/>
      <c r="AV237" s="12"/>
      <c r="AW237" s="12"/>
      <c r="AX237" s="12"/>
      <c r="AY237" s="12"/>
    </row>
    <row r="238" spans="1:51">
      <c r="A238" s="39" t="s">
        <v>124</v>
      </c>
      <c r="B238" s="40">
        <v>33</v>
      </c>
      <c r="C238" s="39" t="s">
        <v>125</v>
      </c>
      <c r="D238" s="39" t="s">
        <v>40</v>
      </c>
      <c r="E238" s="39" t="s">
        <v>91</v>
      </c>
      <c r="F238" s="39">
        <v>2016</v>
      </c>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v>223</v>
      </c>
      <c r="AI238" s="12"/>
      <c r="AJ238" s="12"/>
      <c r="AK238" s="12"/>
      <c r="AL238" s="12"/>
      <c r="AM238" s="12"/>
      <c r="AN238" s="12"/>
      <c r="AO238" s="12"/>
      <c r="AP238" s="12"/>
      <c r="AQ238" s="12"/>
      <c r="AR238" s="12"/>
      <c r="AS238" s="12"/>
      <c r="AT238" s="12"/>
      <c r="AU238" s="12"/>
      <c r="AV238" s="12"/>
      <c r="AW238" s="12"/>
      <c r="AX238" s="12"/>
      <c r="AY238" s="12"/>
    </row>
    <row r="239" spans="1:51">
      <c r="A239" s="39" t="s">
        <v>50</v>
      </c>
      <c r="B239" s="40">
        <v>0</v>
      </c>
      <c r="C239" s="39" t="s">
        <v>123</v>
      </c>
      <c r="D239" s="39" t="s">
        <v>39</v>
      </c>
      <c r="E239" s="39" t="s">
        <v>91</v>
      </c>
      <c r="F239" s="39">
        <v>2016</v>
      </c>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v>2273</v>
      </c>
      <c r="AD239" s="12"/>
      <c r="AE239" s="12"/>
      <c r="AF239" s="12"/>
      <c r="AG239" s="12"/>
      <c r="AH239" s="12">
        <v>460</v>
      </c>
      <c r="AI239" s="12"/>
      <c r="AJ239" s="12">
        <v>327125.75745099987</v>
      </c>
      <c r="AK239" s="12">
        <v>1521741.574</v>
      </c>
      <c r="AL239" s="12">
        <v>1521741.574</v>
      </c>
      <c r="AM239" s="12">
        <v>1524483.65</v>
      </c>
      <c r="AN239" s="12">
        <v>1470588.7209999999</v>
      </c>
      <c r="AO239" s="12">
        <v>1471983.65</v>
      </c>
      <c r="AP239" s="12">
        <v>1474213.6429999999</v>
      </c>
      <c r="AQ239" s="12">
        <v>1476955.71</v>
      </c>
      <c r="AR239" s="12">
        <v>47527.930999999997</v>
      </c>
      <c r="AS239" s="12">
        <v>47527.94</v>
      </c>
      <c r="AT239" s="12">
        <v>51152.853000000003</v>
      </c>
      <c r="AU239" s="12">
        <v>1521741.574</v>
      </c>
      <c r="AV239" s="12">
        <v>51638.898000000001</v>
      </c>
      <c r="AW239" s="12">
        <v>52500</v>
      </c>
      <c r="AX239" s="12">
        <v>1521741.574</v>
      </c>
      <c r="AY239" s="12">
        <v>1524483.65</v>
      </c>
    </row>
    <row r="240" spans="1:51">
      <c r="A240" s="41" t="s">
        <v>49</v>
      </c>
      <c r="B240" s="42">
        <v>1</v>
      </c>
      <c r="C240" s="41" t="s">
        <v>54</v>
      </c>
      <c r="D240" s="41" t="s">
        <v>1</v>
      </c>
      <c r="E240" s="41" t="s">
        <v>47</v>
      </c>
      <c r="F240" s="41">
        <v>2017</v>
      </c>
      <c r="G240" s="13">
        <v>4662</v>
      </c>
      <c r="H240" s="13">
        <v>1771</v>
      </c>
      <c r="I240" s="13">
        <v>2891</v>
      </c>
      <c r="J240" s="13">
        <v>23120</v>
      </c>
      <c r="K240" s="13">
        <v>90</v>
      </c>
      <c r="L240" s="13">
        <v>10</v>
      </c>
      <c r="M240" s="13">
        <v>18</v>
      </c>
      <c r="N240" s="13">
        <v>4325</v>
      </c>
      <c r="O240" s="13">
        <v>75598.148803457036</v>
      </c>
      <c r="P240" s="13">
        <v>2788</v>
      </c>
      <c r="Q240" s="13">
        <v>4628</v>
      </c>
      <c r="R240" s="13">
        <v>1327</v>
      </c>
      <c r="S240" s="13"/>
      <c r="T240" s="13"/>
      <c r="U240" s="13">
        <v>1860</v>
      </c>
      <c r="V240" s="13">
        <v>1194</v>
      </c>
      <c r="W240" s="13">
        <v>1021</v>
      </c>
      <c r="X240" s="13">
        <v>930</v>
      </c>
      <c r="Y240" s="13">
        <v>4662</v>
      </c>
      <c r="Z240" s="13">
        <v>62940244.950000003</v>
      </c>
      <c r="AA240" s="13">
        <v>278</v>
      </c>
      <c r="AB240" s="13">
        <v>429</v>
      </c>
      <c r="AC240" s="13">
        <v>3677</v>
      </c>
      <c r="AD240" s="13">
        <v>334</v>
      </c>
      <c r="AE240" s="13"/>
      <c r="AF240" s="13"/>
      <c r="AG240" s="13"/>
      <c r="AH240" s="13">
        <v>861</v>
      </c>
      <c r="AI240" s="13"/>
      <c r="AJ240" s="13"/>
      <c r="AK240" s="13"/>
      <c r="AL240" s="13"/>
      <c r="AM240" s="13"/>
      <c r="AN240" s="13"/>
      <c r="AO240" s="13"/>
      <c r="AP240" s="13"/>
      <c r="AQ240" s="13"/>
      <c r="AR240" s="13"/>
      <c r="AS240" s="13"/>
      <c r="AT240" s="13"/>
      <c r="AU240" s="13"/>
      <c r="AV240" s="13"/>
      <c r="AW240" s="13"/>
      <c r="AX240" s="13"/>
      <c r="AY240" s="13"/>
    </row>
    <row r="241" spans="1:51">
      <c r="A241" s="41" t="s">
        <v>49</v>
      </c>
      <c r="B241" s="42">
        <v>2</v>
      </c>
      <c r="C241" s="41" t="s">
        <v>55</v>
      </c>
      <c r="D241" s="41" t="s">
        <v>3</v>
      </c>
      <c r="E241" s="41" t="s">
        <v>47</v>
      </c>
      <c r="F241" s="41">
        <v>2017</v>
      </c>
      <c r="G241" s="13">
        <v>8249</v>
      </c>
      <c r="H241" s="13">
        <v>3372</v>
      </c>
      <c r="I241" s="13">
        <v>4877</v>
      </c>
      <c r="J241" s="13">
        <v>57195</v>
      </c>
      <c r="K241" s="13">
        <v>123</v>
      </c>
      <c r="L241" s="13">
        <v>22</v>
      </c>
      <c r="M241" s="13">
        <v>20</v>
      </c>
      <c r="N241" s="13">
        <v>6428</v>
      </c>
      <c r="O241" s="13">
        <v>187686.64734289853</v>
      </c>
      <c r="P241" s="13">
        <v>3870</v>
      </c>
      <c r="Q241" s="13">
        <v>8090</v>
      </c>
      <c r="R241" s="13">
        <v>1495</v>
      </c>
      <c r="S241" s="13"/>
      <c r="T241" s="13"/>
      <c r="U241" s="13">
        <v>3277</v>
      </c>
      <c r="V241" s="13">
        <v>1263</v>
      </c>
      <c r="W241" s="13">
        <v>1348</v>
      </c>
      <c r="X241" s="13">
        <v>1238</v>
      </c>
      <c r="Y241" s="13">
        <v>8249</v>
      </c>
      <c r="Z241" s="13">
        <v>134453006.91000003</v>
      </c>
      <c r="AA241" s="13">
        <v>385</v>
      </c>
      <c r="AB241" s="13">
        <v>749</v>
      </c>
      <c r="AC241" s="13">
        <v>3022</v>
      </c>
      <c r="AD241" s="13">
        <v>138</v>
      </c>
      <c r="AE241" s="13"/>
      <c r="AF241" s="13"/>
      <c r="AG241" s="13"/>
      <c r="AH241" s="13">
        <v>40</v>
      </c>
      <c r="AI241" s="13">
        <v>254</v>
      </c>
      <c r="AJ241" s="13"/>
      <c r="AK241" s="13"/>
      <c r="AL241" s="13"/>
      <c r="AM241" s="13"/>
      <c r="AN241" s="13"/>
      <c r="AO241" s="13"/>
      <c r="AP241" s="13"/>
      <c r="AQ241" s="13"/>
      <c r="AR241" s="13"/>
      <c r="AS241" s="13"/>
      <c r="AT241" s="13"/>
      <c r="AU241" s="13"/>
      <c r="AV241" s="13"/>
      <c r="AW241" s="13"/>
      <c r="AX241" s="13"/>
      <c r="AY241" s="13"/>
    </row>
    <row r="242" spans="1:51">
      <c r="A242" s="41" t="s">
        <v>49</v>
      </c>
      <c r="B242" s="42">
        <v>3</v>
      </c>
      <c r="C242" s="41" t="s">
        <v>56</v>
      </c>
      <c r="D242" s="41" t="s">
        <v>4</v>
      </c>
      <c r="E242" s="41" t="s">
        <v>47</v>
      </c>
      <c r="F242" s="41">
        <v>2017</v>
      </c>
      <c r="G242" s="13">
        <v>1664</v>
      </c>
      <c r="H242" s="13">
        <v>572</v>
      </c>
      <c r="I242" s="13">
        <v>1092</v>
      </c>
      <c r="J242" s="13">
        <v>12013</v>
      </c>
      <c r="K242" s="13">
        <v>18</v>
      </c>
      <c r="L242" s="13">
        <v>5</v>
      </c>
      <c r="M242" s="13">
        <v>1</v>
      </c>
      <c r="N242" s="13">
        <v>1234</v>
      </c>
      <c r="O242" s="13">
        <v>41868.59660841593</v>
      </c>
      <c r="P242" s="13">
        <v>882</v>
      </c>
      <c r="Q242" s="13">
        <v>1878</v>
      </c>
      <c r="R242" s="13">
        <v>438</v>
      </c>
      <c r="S242" s="13"/>
      <c r="T242" s="13"/>
      <c r="U242" s="13">
        <v>709</v>
      </c>
      <c r="V242" s="13">
        <v>352</v>
      </c>
      <c r="W242" s="13">
        <v>455</v>
      </c>
      <c r="X242" s="13">
        <v>422</v>
      </c>
      <c r="Y242" s="13">
        <v>1664</v>
      </c>
      <c r="Z242" s="13">
        <v>33737522.760000005</v>
      </c>
      <c r="AA242" s="13">
        <v>86</v>
      </c>
      <c r="AB242" s="13">
        <v>217</v>
      </c>
      <c r="AC242" s="13">
        <v>792</v>
      </c>
      <c r="AD242" s="13">
        <v>42</v>
      </c>
      <c r="AE242" s="13"/>
      <c r="AF242" s="13"/>
      <c r="AG242" s="13"/>
      <c r="AH242" s="13">
        <v>1</v>
      </c>
      <c r="AI242" s="13"/>
      <c r="AJ242" s="13"/>
      <c r="AK242" s="13"/>
      <c r="AL242" s="13"/>
      <c r="AM242" s="13"/>
      <c r="AN242" s="13"/>
      <c r="AO242" s="13"/>
      <c r="AP242" s="13"/>
      <c r="AQ242" s="13"/>
      <c r="AR242" s="13"/>
      <c r="AS242" s="13"/>
      <c r="AT242" s="13"/>
      <c r="AU242" s="13"/>
      <c r="AV242" s="13"/>
      <c r="AW242" s="13"/>
      <c r="AX242" s="13"/>
      <c r="AY242" s="13"/>
    </row>
    <row r="243" spans="1:51">
      <c r="A243" s="41" t="s">
        <v>49</v>
      </c>
      <c r="B243" s="42">
        <v>4</v>
      </c>
      <c r="C243" s="41" t="s">
        <v>57</v>
      </c>
      <c r="D243" s="41" t="s">
        <v>5</v>
      </c>
      <c r="E243" s="41" t="s">
        <v>47</v>
      </c>
      <c r="F243" s="41">
        <v>2017</v>
      </c>
      <c r="G243" s="13">
        <v>1809</v>
      </c>
      <c r="H243" s="13">
        <v>726</v>
      </c>
      <c r="I243" s="13">
        <v>1083</v>
      </c>
      <c r="J243" s="13">
        <v>15003</v>
      </c>
      <c r="K243" s="13">
        <v>40</v>
      </c>
      <c r="L243" s="13">
        <v>9</v>
      </c>
      <c r="M243" s="13">
        <v>12</v>
      </c>
      <c r="N243" s="13">
        <v>1279</v>
      </c>
      <c r="O243" s="13">
        <v>48445.133432320828</v>
      </c>
      <c r="P243" s="13">
        <v>836</v>
      </c>
      <c r="Q243" s="13">
        <v>1835</v>
      </c>
      <c r="R243" s="13">
        <v>406</v>
      </c>
      <c r="S243" s="13"/>
      <c r="T243" s="13"/>
      <c r="U243" s="13">
        <v>744</v>
      </c>
      <c r="V243" s="13">
        <v>348</v>
      </c>
      <c r="W243" s="13">
        <v>337</v>
      </c>
      <c r="X243" s="13">
        <v>289</v>
      </c>
      <c r="Y243" s="13">
        <v>1809</v>
      </c>
      <c r="Z243" s="13">
        <v>40377865.43</v>
      </c>
      <c r="AA243" s="13">
        <v>104</v>
      </c>
      <c r="AB243" s="13">
        <v>331</v>
      </c>
      <c r="AC243" s="13">
        <v>236</v>
      </c>
      <c r="AD243" s="13">
        <v>96</v>
      </c>
      <c r="AE243" s="13"/>
      <c r="AF243" s="13"/>
      <c r="AG243" s="13"/>
      <c r="AH243" s="13">
        <v>395</v>
      </c>
      <c r="AI243" s="13"/>
      <c r="AJ243" s="13"/>
      <c r="AK243" s="13"/>
      <c r="AL243" s="13"/>
      <c r="AM243" s="13"/>
      <c r="AN243" s="13"/>
      <c r="AO243" s="13"/>
      <c r="AP243" s="13"/>
      <c r="AQ243" s="13"/>
      <c r="AR243" s="13"/>
      <c r="AS243" s="13"/>
      <c r="AT243" s="13"/>
      <c r="AU243" s="13"/>
      <c r="AV243" s="13"/>
      <c r="AW243" s="13"/>
      <c r="AX243" s="13"/>
      <c r="AY243" s="13"/>
    </row>
    <row r="244" spans="1:51">
      <c r="A244" s="41" t="s">
        <v>49</v>
      </c>
      <c r="B244" s="42">
        <v>7</v>
      </c>
      <c r="C244" s="41" t="s">
        <v>58</v>
      </c>
      <c r="D244" s="41" t="s">
        <v>6</v>
      </c>
      <c r="E244" s="41" t="s">
        <v>47</v>
      </c>
      <c r="F244" s="41">
        <v>2017</v>
      </c>
      <c r="G244" s="13">
        <v>7408</v>
      </c>
      <c r="H244" s="13">
        <v>2680</v>
      </c>
      <c r="I244" s="13">
        <v>4728</v>
      </c>
      <c r="J244" s="13">
        <v>93621</v>
      </c>
      <c r="K244" s="13">
        <v>167</v>
      </c>
      <c r="L244" s="13">
        <v>18</v>
      </c>
      <c r="M244" s="13">
        <v>51</v>
      </c>
      <c r="N244" s="13">
        <v>6135</v>
      </c>
      <c r="O244" s="13">
        <v>339199.38612340792</v>
      </c>
      <c r="P244" s="13">
        <v>3253</v>
      </c>
      <c r="Q244" s="13">
        <v>7553</v>
      </c>
      <c r="R244" s="13">
        <v>1871</v>
      </c>
      <c r="S244" s="13"/>
      <c r="T244" s="13"/>
      <c r="U244" s="13">
        <v>2807</v>
      </c>
      <c r="V244" s="13">
        <v>1669</v>
      </c>
      <c r="W244" s="13">
        <v>1704</v>
      </c>
      <c r="X244" s="13">
        <v>1459</v>
      </c>
      <c r="Y244" s="13">
        <v>7408</v>
      </c>
      <c r="Z244" s="13">
        <v>154916086.87</v>
      </c>
      <c r="AA244" s="13">
        <v>412</v>
      </c>
      <c r="AB244" s="13">
        <v>714</v>
      </c>
      <c r="AC244" s="13">
        <v>3960</v>
      </c>
      <c r="AD244" s="13">
        <v>159</v>
      </c>
      <c r="AE244" s="13"/>
      <c r="AF244" s="13"/>
      <c r="AG244" s="13"/>
      <c r="AH244" s="13">
        <v>140</v>
      </c>
      <c r="AI244" s="13"/>
      <c r="AJ244" s="13"/>
      <c r="AK244" s="13"/>
      <c r="AL244" s="13"/>
      <c r="AM244" s="13"/>
      <c r="AN244" s="13"/>
      <c r="AO244" s="13"/>
      <c r="AP244" s="13"/>
      <c r="AQ244" s="13"/>
      <c r="AR244" s="13"/>
      <c r="AS244" s="13"/>
      <c r="AT244" s="13"/>
      <c r="AU244" s="13"/>
      <c r="AV244" s="13"/>
      <c r="AW244" s="13"/>
      <c r="AX244" s="13"/>
      <c r="AY244" s="13"/>
    </row>
    <row r="245" spans="1:51">
      <c r="A245" s="41" t="s">
        <v>49</v>
      </c>
      <c r="B245" s="42">
        <v>8</v>
      </c>
      <c r="C245" s="41" t="s">
        <v>59</v>
      </c>
      <c r="D245" s="41" t="s">
        <v>7</v>
      </c>
      <c r="E245" s="41" t="s">
        <v>47</v>
      </c>
      <c r="F245" s="41">
        <v>2017</v>
      </c>
      <c r="G245" s="13">
        <v>9203</v>
      </c>
      <c r="H245" s="13">
        <v>3776</v>
      </c>
      <c r="I245" s="13">
        <v>5427</v>
      </c>
      <c r="J245" s="13">
        <v>55630</v>
      </c>
      <c r="K245" s="13">
        <v>157</v>
      </c>
      <c r="L245" s="13">
        <v>30</v>
      </c>
      <c r="M245" s="13">
        <v>34</v>
      </c>
      <c r="N245" s="13">
        <v>8150</v>
      </c>
      <c r="O245" s="13">
        <v>202962.54778543254</v>
      </c>
      <c r="P245" s="13">
        <v>4315</v>
      </c>
      <c r="Q245" s="13">
        <v>9095</v>
      </c>
      <c r="R245" s="13">
        <v>1927</v>
      </c>
      <c r="S245" s="13"/>
      <c r="T245" s="13"/>
      <c r="U245" s="13">
        <v>3922</v>
      </c>
      <c r="V245" s="13">
        <v>1759</v>
      </c>
      <c r="W245" s="13">
        <v>1887</v>
      </c>
      <c r="X245" s="13">
        <v>1718</v>
      </c>
      <c r="Y245" s="13">
        <v>9203</v>
      </c>
      <c r="Z245" s="13">
        <v>149622540.54999998</v>
      </c>
      <c r="AA245" s="13">
        <v>537</v>
      </c>
      <c r="AB245" s="13">
        <v>983</v>
      </c>
      <c r="AC245" s="13">
        <v>9869</v>
      </c>
      <c r="AD245" s="13">
        <v>306</v>
      </c>
      <c r="AE245" s="13"/>
      <c r="AF245" s="13"/>
      <c r="AG245" s="13"/>
      <c r="AH245" s="13">
        <v>178</v>
      </c>
      <c r="AI245" s="13">
        <v>688</v>
      </c>
      <c r="AJ245" s="13"/>
      <c r="AK245" s="13"/>
      <c r="AL245" s="13"/>
      <c r="AM245" s="13"/>
      <c r="AN245" s="13"/>
      <c r="AO245" s="13"/>
      <c r="AP245" s="13"/>
      <c r="AQ245" s="13"/>
      <c r="AR245" s="13"/>
      <c r="AS245" s="13"/>
      <c r="AT245" s="13"/>
      <c r="AU245" s="13"/>
      <c r="AV245" s="13"/>
      <c r="AW245" s="13"/>
      <c r="AX245" s="13"/>
      <c r="AY245" s="13"/>
    </row>
    <row r="246" spans="1:51">
      <c r="A246" s="41" t="s">
        <v>50</v>
      </c>
      <c r="B246" s="42">
        <v>9</v>
      </c>
      <c r="C246" s="41" t="s">
        <v>84</v>
      </c>
      <c r="D246" s="41" t="s">
        <v>32</v>
      </c>
      <c r="E246" s="41" t="s">
        <v>47</v>
      </c>
      <c r="F246" s="41">
        <v>2017</v>
      </c>
      <c r="G246" s="13">
        <v>44212</v>
      </c>
      <c r="H246" s="13">
        <v>18720</v>
      </c>
      <c r="I246" s="13">
        <v>25492</v>
      </c>
      <c r="J246" s="13">
        <v>144092</v>
      </c>
      <c r="K246" s="13">
        <v>579</v>
      </c>
      <c r="L246" s="13">
        <v>101</v>
      </c>
      <c r="M246" s="13">
        <v>146</v>
      </c>
      <c r="N246" s="13">
        <v>35156</v>
      </c>
      <c r="O246" s="13">
        <v>393735.68071603618</v>
      </c>
      <c r="P246" s="13">
        <v>25657</v>
      </c>
      <c r="Q246" s="13">
        <v>44532</v>
      </c>
      <c r="R246" s="13">
        <v>8423</v>
      </c>
      <c r="S246" s="13"/>
      <c r="T246" s="13"/>
      <c r="U246" s="13">
        <v>18370</v>
      </c>
      <c r="V246" s="13">
        <v>7196</v>
      </c>
      <c r="W246" s="13">
        <v>6851</v>
      </c>
      <c r="X246" s="13">
        <v>4513</v>
      </c>
      <c r="Y246" s="13">
        <v>44212</v>
      </c>
      <c r="Z246" s="13">
        <v>727900113.59000003</v>
      </c>
      <c r="AA246" s="13">
        <v>2140</v>
      </c>
      <c r="AB246" s="13">
        <v>3705</v>
      </c>
      <c r="AC246" s="13">
        <v>10792</v>
      </c>
      <c r="AD246" s="13">
        <v>637</v>
      </c>
      <c r="AE246" s="13"/>
      <c r="AF246" s="13"/>
      <c r="AG246" s="13"/>
      <c r="AH246" s="13">
        <v>1500</v>
      </c>
      <c r="AI246" s="13"/>
      <c r="AJ246" s="13"/>
      <c r="AK246" s="13"/>
      <c r="AL246" s="13"/>
      <c r="AM246" s="13"/>
      <c r="AN246" s="13"/>
      <c r="AO246" s="13"/>
      <c r="AP246" s="13"/>
      <c r="AQ246" s="13"/>
      <c r="AR246" s="13"/>
      <c r="AS246" s="13"/>
      <c r="AT246" s="13"/>
      <c r="AU246" s="13"/>
      <c r="AV246" s="13"/>
      <c r="AW246" s="13"/>
      <c r="AX246" s="13"/>
      <c r="AY246" s="13"/>
    </row>
    <row r="247" spans="1:51">
      <c r="A247" s="41" t="s">
        <v>49</v>
      </c>
      <c r="B247" s="42">
        <v>5</v>
      </c>
      <c r="C247" s="41" t="s">
        <v>60</v>
      </c>
      <c r="D247" s="41" t="s">
        <v>31</v>
      </c>
      <c r="E247" s="41" t="s">
        <v>47</v>
      </c>
      <c r="F247" s="41">
        <v>2017</v>
      </c>
      <c r="G247" s="13">
        <v>10066</v>
      </c>
      <c r="H247" s="13">
        <v>4262</v>
      </c>
      <c r="I247" s="13">
        <v>5804</v>
      </c>
      <c r="J247" s="13">
        <v>60662</v>
      </c>
      <c r="K247" s="13">
        <v>134</v>
      </c>
      <c r="L247" s="13">
        <v>45</v>
      </c>
      <c r="M247" s="13">
        <v>37</v>
      </c>
      <c r="N247" s="13">
        <v>8575</v>
      </c>
      <c r="O247" s="13">
        <v>163739.33545428055</v>
      </c>
      <c r="P247" s="13">
        <v>6033</v>
      </c>
      <c r="Q247" s="13">
        <v>9358</v>
      </c>
      <c r="R247" s="13">
        <v>2223</v>
      </c>
      <c r="S247" s="13"/>
      <c r="T247" s="13"/>
      <c r="U247" s="13">
        <v>3366</v>
      </c>
      <c r="V247" s="13">
        <v>2042</v>
      </c>
      <c r="W247" s="13">
        <v>1717</v>
      </c>
      <c r="X247" s="13">
        <v>1686</v>
      </c>
      <c r="Y247" s="13">
        <v>10066</v>
      </c>
      <c r="Z247" s="13">
        <v>146240443.06</v>
      </c>
      <c r="AA247" s="13">
        <v>436</v>
      </c>
      <c r="AB247" s="13">
        <v>1141</v>
      </c>
      <c r="AC247" s="13">
        <v>716</v>
      </c>
      <c r="AD247" s="13">
        <v>92</v>
      </c>
      <c r="AE247" s="13"/>
      <c r="AF247" s="13"/>
      <c r="AG247" s="13"/>
      <c r="AH247" s="13">
        <v>194</v>
      </c>
      <c r="AI247" s="13"/>
      <c r="AJ247" s="13"/>
      <c r="AK247" s="13"/>
      <c r="AL247" s="13"/>
      <c r="AM247" s="13"/>
      <c r="AN247" s="13"/>
      <c r="AO247" s="13"/>
      <c r="AP247" s="13"/>
      <c r="AQ247" s="13"/>
      <c r="AR247" s="13"/>
      <c r="AS247" s="13"/>
      <c r="AT247" s="13"/>
      <c r="AU247" s="13"/>
      <c r="AV247" s="13"/>
      <c r="AW247" s="13"/>
      <c r="AX247" s="13"/>
      <c r="AY247" s="13"/>
    </row>
    <row r="248" spans="1:51">
      <c r="A248" s="41" t="s">
        <v>49</v>
      </c>
      <c r="B248" s="42">
        <v>6</v>
      </c>
      <c r="C248" s="41" t="s">
        <v>61</v>
      </c>
      <c r="D248" s="41" t="s">
        <v>8</v>
      </c>
      <c r="E248" s="41" t="s">
        <v>47</v>
      </c>
      <c r="F248" s="41">
        <v>2017</v>
      </c>
      <c r="G248" s="13">
        <v>1866</v>
      </c>
      <c r="H248" s="13">
        <v>701</v>
      </c>
      <c r="I248" s="13">
        <v>1165</v>
      </c>
      <c r="J248" s="13">
        <v>11068</v>
      </c>
      <c r="K248" s="13">
        <v>48</v>
      </c>
      <c r="L248" s="13">
        <v>5</v>
      </c>
      <c r="M248" s="13">
        <v>11</v>
      </c>
      <c r="N248" s="13">
        <v>1144</v>
      </c>
      <c r="O248" s="13">
        <v>38113.864591336576</v>
      </c>
      <c r="P248" s="13">
        <v>846</v>
      </c>
      <c r="Q248" s="13">
        <v>1986</v>
      </c>
      <c r="R248" s="13">
        <v>379</v>
      </c>
      <c r="S248" s="13"/>
      <c r="T248" s="13"/>
      <c r="U248" s="13">
        <v>823</v>
      </c>
      <c r="V248" s="13">
        <v>305</v>
      </c>
      <c r="W248" s="13">
        <v>288</v>
      </c>
      <c r="X248" s="13">
        <v>259</v>
      </c>
      <c r="Y248" s="13">
        <v>1866</v>
      </c>
      <c r="Z248" s="13">
        <v>40848159.449999996</v>
      </c>
      <c r="AA248" s="13">
        <v>117</v>
      </c>
      <c r="AB248" s="13">
        <v>320</v>
      </c>
      <c r="AC248" s="13">
        <v>833</v>
      </c>
      <c r="AD248" s="13">
        <v>0</v>
      </c>
      <c r="AE248" s="13"/>
      <c r="AF248" s="13"/>
      <c r="AG248" s="13"/>
      <c r="AH248" s="13">
        <v>201</v>
      </c>
      <c r="AI248" s="13"/>
      <c r="AJ248" s="13"/>
      <c r="AK248" s="13"/>
      <c r="AL248" s="13"/>
      <c r="AM248" s="13"/>
      <c r="AN248" s="13"/>
      <c r="AO248" s="13"/>
      <c r="AP248" s="13"/>
      <c r="AQ248" s="13"/>
      <c r="AR248" s="13"/>
      <c r="AS248" s="13"/>
      <c r="AT248" s="13"/>
      <c r="AU248" s="13"/>
      <c r="AV248" s="13"/>
      <c r="AW248" s="13"/>
      <c r="AX248" s="13"/>
      <c r="AY248" s="13"/>
    </row>
    <row r="249" spans="1:51">
      <c r="A249" s="41" t="s">
        <v>49</v>
      </c>
      <c r="B249" s="42">
        <v>10</v>
      </c>
      <c r="C249" s="41" t="s">
        <v>62</v>
      </c>
      <c r="D249" s="41" t="s">
        <v>9</v>
      </c>
      <c r="E249" s="41" t="s">
        <v>47</v>
      </c>
      <c r="F249" s="41">
        <v>2017</v>
      </c>
      <c r="G249" s="13">
        <v>2067</v>
      </c>
      <c r="H249" s="13">
        <v>935</v>
      </c>
      <c r="I249" s="13">
        <v>1132</v>
      </c>
      <c r="J249" s="13">
        <v>32676</v>
      </c>
      <c r="K249" s="13">
        <v>52</v>
      </c>
      <c r="L249" s="13">
        <v>17</v>
      </c>
      <c r="M249" s="13">
        <v>8</v>
      </c>
      <c r="N249" s="13">
        <v>1722</v>
      </c>
      <c r="O249" s="13">
        <v>102443.98670163711</v>
      </c>
      <c r="P249" s="13">
        <v>1074</v>
      </c>
      <c r="Q249" s="13">
        <v>2142</v>
      </c>
      <c r="R249" s="13">
        <v>459</v>
      </c>
      <c r="S249" s="13"/>
      <c r="T249" s="13"/>
      <c r="U249" s="13">
        <v>1025</v>
      </c>
      <c r="V249" s="13">
        <v>398</v>
      </c>
      <c r="W249" s="13">
        <v>403</v>
      </c>
      <c r="X249" s="13">
        <v>275</v>
      </c>
      <c r="Y249" s="13">
        <v>2067</v>
      </c>
      <c r="Z249" s="13">
        <v>39988050.210000001</v>
      </c>
      <c r="AA249" s="13">
        <v>151</v>
      </c>
      <c r="AB249" s="13">
        <v>260</v>
      </c>
      <c r="AC249" s="13">
        <v>2362</v>
      </c>
      <c r="AD249" s="13">
        <v>179</v>
      </c>
      <c r="AE249" s="13"/>
      <c r="AF249" s="13"/>
      <c r="AG249" s="13"/>
      <c r="AH249" s="13">
        <v>37</v>
      </c>
      <c r="AI249" s="13"/>
      <c r="AJ249" s="13"/>
      <c r="AK249" s="13"/>
      <c r="AL249" s="13"/>
      <c r="AM249" s="13"/>
      <c r="AN249" s="13"/>
      <c r="AO249" s="13"/>
      <c r="AP249" s="13"/>
      <c r="AQ249" s="13"/>
      <c r="AR249" s="13"/>
      <c r="AS249" s="13"/>
      <c r="AT249" s="13"/>
      <c r="AU249" s="13"/>
      <c r="AV249" s="13"/>
      <c r="AW249" s="13"/>
      <c r="AX249" s="13"/>
      <c r="AY249" s="13"/>
    </row>
    <row r="250" spans="1:51">
      <c r="A250" s="41" t="s">
        <v>49</v>
      </c>
      <c r="B250" s="42">
        <v>11</v>
      </c>
      <c r="C250" s="41" t="s">
        <v>63</v>
      </c>
      <c r="D250" s="41" t="s">
        <v>10</v>
      </c>
      <c r="E250" s="41" t="s">
        <v>47</v>
      </c>
      <c r="F250" s="41">
        <v>2017</v>
      </c>
      <c r="G250" s="13">
        <v>18067</v>
      </c>
      <c r="H250" s="13">
        <v>7538</v>
      </c>
      <c r="I250" s="13">
        <v>10529</v>
      </c>
      <c r="J250" s="13">
        <v>120616</v>
      </c>
      <c r="K250" s="13">
        <v>288</v>
      </c>
      <c r="L250" s="13">
        <v>71</v>
      </c>
      <c r="M250" s="13">
        <v>65</v>
      </c>
      <c r="N250" s="13">
        <v>15006</v>
      </c>
      <c r="O250" s="13">
        <v>339322.14632718515</v>
      </c>
      <c r="P250" s="13">
        <v>10205</v>
      </c>
      <c r="Q250" s="13">
        <v>17266</v>
      </c>
      <c r="R250" s="13">
        <v>4311</v>
      </c>
      <c r="S250" s="13"/>
      <c r="T250" s="13"/>
      <c r="U250" s="13">
        <v>6355</v>
      </c>
      <c r="V250" s="13">
        <v>4047</v>
      </c>
      <c r="W250" s="13">
        <v>4743</v>
      </c>
      <c r="X250" s="13">
        <v>4477</v>
      </c>
      <c r="Y250" s="13">
        <v>18067</v>
      </c>
      <c r="Z250" s="13">
        <v>239110062.75999999</v>
      </c>
      <c r="AA250" s="13">
        <v>860</v>
      </c>
      <c r="AB250" s="13">
        <v>2187</v>
      </c>
      <c r="AC250" s="13">
        <v>8486</v>
      </c>
      <c r="AD250" s="13">
        <v>674</v>
      </c>
      <c r="AE250" s="13"/>
      <c r="AF250" s="13"/>
      <c r="AG250" s="13"/>
      <c r="AH250" s="13">
        <v>6537</v>
      </c>
      <c r="AI250" s="13">
        <v>12897</v>
      </c>
      <c r="AJ250" s="13"/>
      <c r="AK250" s="13"/>
      <c r="AL250" s="13"/>
      <c r="AM250" s="13"/>
      <c r="AN250" s="13"/>
      <c r="AO250" s="13"/>
      <c r="AP250" s="13"/>
      <c r="AQ250" s="13"/>
      <c r="AR250" s="13"/>
      <c r="AS250" s="13"/>
      <c r="AT250" s="13"/>
      <c r="AU250" s="13"/>
      <c r="AV250" s="13"/>
      <c r="AW250" s="13"/>
      <c r="AX250" s="13"/>
      <c r="AY250" s="13"/>
    </row>
    <row r="251" spans="1:51">
      <c r="A251" s="41" t="s">
        <v>49</v>
      </c>
      <c r="B251" s="42">
        <v>12</v>
      </c>
      <c r="C251" s="41" t="s">
        <v>64</v>
      </c>
      <c r="D251" s="41" t="s">
        <v>11</v>
      </c>
      <c r="E251" s="41" t="s">
        <v>47</v>
      </c>
      <c r="F251" s="41">
        <v>2017</v>
      </c>
      <c r="G251" s="13">
        <v>6152</v>
      </c>
      <c r="H251" s="13">
        <v>2421</v>
      </c>
      <c r="I251" s="13">
        <v>3731</v>
      </c>
      <c r="J251" s="13">
        <v>67537</v>
      </c>
      <c r="K251" s="13">
        <v>128</v>
      </c>
      <c r="L251" s="13">
        <v>22</v>
      </c>
      <c r="M251" s="13">
        <v>43</v>
      </c>
      <c r="N251" s="13">
        <v>4956</v>
      </c>
      <c r="O251" s="13">
        <v>221402.55210199981</v>
      </c>
      <c r="P251" s="13">
        <v>3288</v>
      </c>
      <c r="Q251" s="13">
        <v>6290</v>
      </c>
      <c r="R251" s="13">
        <v>1515</v>
      </c>
      <c r="S251" s="13"/>
      <c r="T251" s="13"/>
      <c r="U251" s="13">
        <v>2541</v>
      </c>
      <c r="V251" s="13">
        <v>1362</v>
      </c>
      <c r="W251" s="13">
        <v>1363</v>
      </c>
      <c r="X251" s="13">
        <v>760</v>
      </c>
      <c r="Y251" s="13">
        <v>6152</v>
      </c>
      <c r="Z251" s="13">
        <v>129986523.43000001</v>
      </c>
      <c r="AA251" s="13">
        <v>298</v>
      </c>
      <c r="AB251" s="13">
        <v>719</v>
      </c>
      <c r="AC251" s="13">
        <v>1480</v>
      </c>
      <c r="AD251" s="13">
        <v>1068</v>
      </c>
      <c r="AE251" s="13"/>
      <c r="AF251" s="13"/>
      <c r="AG251" s="13"/>
      <c r="AH251" s="13">
        <v>1175</v>
      </c>
      <c r="AI251" s="13"/>
      <c r="AJ251" s="13"/>
      <c r="AK251" s="13"/>
      <c r="AL251" s="13"/>
      <c r="AM251" s="13"/>
      <c r="AN251" s="13"/>
      <c r="AO251" s="13"/>
      <c r="AP251" s="13"/>
      <c r="AQ251" s="13"/>
      <c r="AR251" s="13"/>
      <c r="AS251" s="13"/>
      <c r="AT251" s="13"/>
      <c r="AU251" s="13"/>
      <c r="AV251" s="13"/>
      <c r="AW251" s="13"/>
      <c r="AX251" s="13"/>
      <c r="AY251" s="13"/>
    </row>
    <row r="252" spans="1:51">
      <c r="A252" s="41" t="s">
        <v>49</v>
      </c>
      <c r="B252" s="42">
        <v>13</v>
      </c>
      <c r="C252" s="41" t="s">
        <v>65</v>
      </c>
      <c r="D252" s="41" t="s">
        <v>12</v>
      </c>
      <c r="E252" s="41" t="s">
        <v>47</v>
      </c>
      <c r="F252" s="41">
        <v>2017</v>
      </c>
      <c r="G252" s="13">
        <v>3648</v>
      </c>
      <c r="H252" s="13">
        <v>1434</v>
      </c>
      <c r="I252" s="13">
        <v>2214</v>
      </c>
      <c r="J252" s="13">
        <v>54631</v>
      </c>
      <c r="K252" s="13">
        <v>71</v>
      </c>
      <c r="L252" s="13">
        <v>34</v>
      </c>
      <c r="M252" s="13">
        <v>19</v>
      </c>
      <c r="N252" s="13">
        <v>3195</v>
      </c>
      <c r="O252" s="13">
        <v>161393.80743884723</v>
      </c>
      <c r="P252" s="13">
        <v>1711</v>
      </c>
      <c r="Q252" s="13">
        <v>3715</v>
      </c>
      <c r="R252" s="13">
        <v>818</v>
      </c>
      <c r="S252" s="13"/>
      <c r="T252" s="13"/>
      <c r="U252" s="13">
        <v>1417</v>
      </c>
      <c r="V252" s="13">
        <v>693</v>
      </c>
      <c r="W252" s="13">
        <v>710</v>
      </c>
      <c r="X252" s="13">
        <v>703</v>
      </c>
      <c r="Y252" s="13">
        <v>3648</v>
      </c>
      <c r="Z252" s="13">
        <v>62427701.560000002</v>
      </c>
      <c r="AA252" s="13">
        <v>203</v>
      </c>
      <c r="AB252" s="13">
        <v>428</v>
      </c>
      <c r="AC252" s="13">
        <v>1175</v>
      </c>
      <c r="AD252" s="13">
        <v>361</v>
      </c>
      <c r="AE252" s="13"/>
      <c r="AF252" s="13"/>
      <c r="AG252" s="13"/>
      <c r="AH252" s="13">
        <v>408</v>
      </c>
      <c r="AI252" s="13"/>
      <c r="AJ252" s="13"/>
      <c r="AK252" s="13"/>
      <c r="AL252" s="13"/>
      <c r="AM252" s="13"/>
      <c r="AN252" s="13"/>
      <c r="AO252" s="13"/>
      <c r="AP252" s="13"/>
      <c r="AQ252" s="13"/>
      <c r="AR252" s="13"/>
      <c r="AS252" s="13"/>
      <c r="AT252" s="13"/>
      <c r="AU252" s="13"/>
      <c r="AV252" s="13"/>
      <c r="AW252" s="13"/>
      <c r="AX252" s="13"/>
      <c r="AY252" s="13"/>
    </row>
    <row r="253" spans="1:51">
      <c r="A253" s="41" t="s">
        <v>49</v>
      </c>
      <c r="B253" s="42">
        <v>14</v>
      </c>
      <c r="C253" s="41" t="s">
        <v>66</v>
      </c>
      <c r="D253" s="41" t="s">
        <v>13</v>
      </c>
      <c r="E253" s="41" t="s">
        <v>47</v>
      </c>
      <c r="F253" s="41">
        <v>2017</v>
      </c>
      <c r="G253" s="13">
        <v>14856</v>
      </c>
      <c r="H253" s="13">
        <v>5950</v>
      </c>
      <c r="I253" s="13">
        <v>8906</v>
      </c>
      <c r="J253" s="13">
        <v>138980</v>
      </c>
      <c r="K253" s="13">
        <v>276</v>
      </c>
      <c r="L253" s="13">
        <v>36</v>
      </c>
      <c r="M253" s="13">
        <v>68</v>
      </c>
      <c r="N253" s="13">
        <v>11552</v>
      </c>
      <c r="O253" s="13">
        <v>433694.28945317143</v>
      </c>
      <c r="P253" s="13">
        <v>6319</v>
      </c>
      <c r="Q253" s="13">
        <v>14712</v>
      </c>
      <c r="R253" s="13">
        <v>3214</v>
      </c>
      <c r="S253" s="13"/>
      <c r="T253" s="13"/>
      <c r="U253" s="13">
        <v>5847</v>
      </c>
      <c r="V253" s="13">
        <v>2823</v>
      </c>
      <c r="W253" s="13">
        <v>2841</v>
      </c>
      <c r="X253" s="13">
        <v>2194</v>
      </c>
      <c r="Y253" s="13">
        <v>14856</v>
      </c>
      <c r="Z253" s="13">
        <v>253606710.19</v>
      </c>
      <c r="AA253" s="13">
        <v>877</v>
      </c>
      <c r="AB253" s="13">
        <v>2084</v>
      </c>
      <c r="AC253" s="13">
        <v>8294</v>
      </c>
      <c r="AD253" s="13">
        <v>907</v>
      </c>
      <c r="AE253" s="13"/>
      <c r="AF253" s="13"/>
      <c r="AG253" s="13"/>
      <c r="AH253" s="13">
        <v>228</v>
      </c>
      <c r="AI253" s="13">
        <v>504</v>
      </c>
      <c r="AJ253" s="13"/>
      <c r="AK253" s="13"/>
      <c r="AL253" s="13"/>
      <c r="AM253" s="13"/>
      <c r="AN253" s="13"/>
      <c r="AO253" s="13"/>
      <c r="AP253" s="13"/>
      <c r="AQ253" s="13"/>
      <c r="AR253" s="13"/>
      <c r="AS253" s="13"/>
      <c r="AT253" s="13"/>
      <c r="AU253" s="13"/>
      <c r="AV253" s="13"/>
      <c r="AW253" s="13"/>
      <c r="AX253" s="13"/>
      <c r="AY253" s="13"/>
    </row>
    <row r="254" spans="1:51">
      <c r="A254" s="41" t="s">
        <v>49</v>
      </c>
      <c r="B254" s="42">
        <v>15</v>
      </c>
      <c r="C254" s="41" t="s">
        <v>67</v>
      </c>
      <c r="D254" s="41" t="s">
        <v>14</v>
      </c>
      <c r="E254" s="41" t="s">
        <v>47</v>
      </c>
      <c r="F254" s="41">
        <v>2017</v>
      </c>
      <c r="G254" s="13">
        <v>48591</v>
      </c>
      <c r="H254" s="13">
        <v>18859</v>
      </c>
      <c r="I254" s="13">
        <v>29732</v>
      </c>
      <c r="J254" s="13">
        <v>291713</v>
      </c>
      <c r="K254" s="13">
        <v>774</v>
      </c>
      <c r="L254" s="13">
        <v>133</v>
      </c>
      <c r="M254" s="13">
        <v>197</v>
      </c>
      <c r="N254" s="13">
        <v>41890</v>
      </c>
      <c r="O254" s="13">
        <v>914058.32544967113</v>
      </c>
      <c r="P254" s="13">
        <v>24437</v>
      </c>
      <c r="Q254" s="13">
        <v>48274</v>
      </c>
      <c r="R254" s="13">
        <v>10103</v>
      </c>
      <c r="S254" s="13"/>
      <c r="T254" s="13"/>
      <c r="U254" s="13">
        <v>19347</v>
      </c>
      <c r="V254" s="13">
        <v>8478</v>
      </c>
      <c r="W254" s="13">
        <v>8197</v>
      </c>
      <c r="X254" s="13">
        <v>6722</v>
      </c>
      <c r="Y254" s="13">
        <v>48591</v>
      </c>
      <c r="Z254" s="13">
        <v>739896898.45999992</v>
      </c>
      <c r="AA254" s="13">
        <v>2322</v>
      </c>
      <c r="AB254" s="13">
        <v>4445</v>
      </c>
      <c r="AC254" s="13">
        <v>14747</v>
      </c>
      <c r="AD254" s="13">
        <v>1031</v>
      </c>
      <c r="AE254" s="13"/>
      <c r="AF254" s="13"/>
      <c r="AG254" s="13"/>
      <c r="AH254" s="13">
        <v>30630</v>
      </c>
      <c r="AI254" s="13">
        <v>429</v>
      </c>
      <c r="AJ254" s="13"/>
      <c r="AK254" s="13"/>
      <c r="AL254" s="13"/>
      <c r="AM254" s="13"/>
      <c r="AN254" s="13"/>
      <c r="AO254" s="13"/>
      <c r="AP254" s="13"/>
      <c r="AQ254" s="13"/>
      <c r="AR254" s="13"/>
      <c r="AS254" s="13"/>
      <c r="AT254" s="13"/>
      <c r="AU254" s="13"/>
      <c r="AV254" s="13"/>
      <c r="AW254" s="13"/>
      <c r="AX254" s="13"/>
      <c r="AY254" s="13"/>
    </row>
    <row r="255" spans="1:51">
      <c r="A255" s="41" t="s">
        <v>49</v>
      </c>
      <c r="B255" s="42">
        <v>16</v>
      </c>
      <c r="C255" s="41" t="s">
        <v>68</v>
      </c>
      <c r="D255" s="41" t="s">
        <v>30</v>
      </c>
      <c r="E255" s="41" t="s">
        <v>47</v>
      </c>
      <c r="F255" s="41">
        <v>2017</v>
      </c>
      <c r="G255" s="13">
        <v>11181</v>
      </c>
      <c r="H255" s="13">
        <v>4573</v>
      </c>
      <c r="I255" s="13">
        <v>6608</v>
      </c>
      <c r="J255" s="13">
        <v>70513</v>
      </c>
      <c r="K255" s="13">
        <v>220</v>
      </c>
      <c r="L255" s="13">
        <v>28</v>
      </c>
      <c r="M255" s="13">
        <v>52</v>
      </c>
      <c r="N255" s="13">
        <v>9395</v>
      </c>
      <c r="O255" s="13">
        <v>257745.76093572829</v>
      </c>
      <c r="P255" s="13">
        <v>5520</v>
      </c>
      <c r="Q255" s="13">
        <v>11186</v>
      </c>
      <c r="R255" s="13">
        <v>2820</v>
      </c>
      <c r="S255" s="13"/>
      <c r="T255" s="13"/>
      <c r="U255" s="13">
        <v>4533</v>
      </c>
      <c r="V255" s="13">
        <v>2425</v>
      </c>
      <c r="W255" s="13">
        <v>2396</v>
      </c>
      <c r="X255" s="13">
        <v>2150</v>
      </c>
      <c r="Y255" s="13">
        <v>11181</v>
      </c>
      <c r="Z255" s="13">
        <v>202375074.75999999</v>
      </c>
      <c r="AA255" s="13">
        <v>447</v>
      </c>
      <c r="AB255" s="13">
        <v>1204</v>
      </c>
      <c r="AC255" s="13">
        <v>3982</v>
      </c>
      <c r="AD255" s="13">
        <v>270</v>
      </c>
      <c r="AE255" s="13"/>
      <c r="AF255" s="13"/>
      <c r="AG255" s="13"/>
      <c r="AH255" s="13">
        <v>7715</v>
      </c>
      <c r="AI255" s="13"/>
      <c r="AJ255" s="13"/>
      <c r="AK255" s="13"/>
      <c r="AL255" s="13"/>
      <c r="AM255" s="13"/>
      <c r="AN255" s="13"/>
      <c r="AO255" s="13"/>
      <c r="AP255" s="13"/>
      <c r="AQ255" s="13"/>
      <c r="AR255" s="13"/>
      <c r="AS255" s="13"/>
      <c r="AT255" s="13"/>
      <c r="AU255" s="13"/>
      <c r="AV255" s="13"/>
      <c r="AW255" s="13"/>
      <c r="AX255" s="13"/>
      <c r="AY255" s="13"/>
    </row>
    <row r="256" spans="1:51">
      <c r="A256" s="41" t="s">
        <v>49</v>
      </c>
      <c r="B256" s="42">
        <v>17</v>
      </c>
      <c r="C256" s="41" t="s">
        <v>69</v>
      </c>
      <c r="D256" s="41" t="s">
        <v>15</v>
      </c>
      <c r="E256" s="41" t="s">
        <v>47</v>
      </c>
      <c r="F256" s="41">
        <v>2017</v>
      </c>
      <c r="G256" s="13">
        <v>4697</v>
      </c>
      <c r="H256" s="13">
        <v>1947</v>
      </c>
      <c r="I256" s="13">
        <v>2750</v>
      </c>
      <c r="J256" s="13">
        <v>31772</v>
      </c>
      <c r="K256" s="13">
        <v>72</v>
      </c>
      <c r="L256" s="13">
        <v>15</v>
      </c>
      <c r="M256" s="13">
        <v>16</v>
      </c>
      <c r="N256" s="13">
        <v>3864</v>
      </c>
      <c r="O256" s="13">
        <v>101461.14491197071</v>
      </c>
      <c r="P256" s="13">
        <v>2284</v>
      </c>
      <c r="Q256" s="13">
        <v>4719</v>
      </c>
      <c r="R256" s="13">
        <v>1174</v>
      </c>
      <c r="S256" s="13"/>
      <c r="T256" s="13"/>
      <c r="U256" s="13">
        <v>2047</v>
      </c>
      <c r="V256" s="13">
        <v>1076</v>
      </c>
      <c r="W256" s="13">
        <v>1040</v>
      </c>
      <c r="X256" s="13">
        <v>957</v>
      </c>
      <c r="Y256" s="13">
        <v>4697</v>
      </c>
      <c r="Z256" s="13">
        <v>68201138.769999996</v>
      </c>
      <c r="AA256" s="13">
        <v>242</v>
      </c>
      <c r="AB256" s="13">
        <v>532</v>
      </c>
      <c r="AC256" s="13">
        <v>4191</v>
      </c>
      <c r="AD256" s="13">
        <v>373</v>
      </c>
      <c r="AE256" s="13"/>
      <c r="AF256" s="13"/>
      <c r="AG256" s="13"/>
      <c r="AH256" s="13">
        <v>1311</v>
      </c>
      <c r="AI256" s="13"/>
      <c r="AJ256" s="13"/>
      <c r="AK256" s="13"/>
      <c r="AL256" s="13"/>
      <c r="AM256" s="13"/>
      <c r="AN256" s="13"/>
      <c r="AO256" s="13"/>
      <c r="AP256" s="13"/>
      <c r="AQ256" s="13"/>
      <c r="AR256" s="13"/>
      <c r="AS256" s="13"/>
      <c r="AT256" s="13"/>
      <c r="AU256" s="13"/>
      <c r="AV256" s="13"/>
      <c r="AW256" s="13"/>
      <c r="AX256" s="13"/>
      <c r="AY256" s="13"/>
    </row>
    <row r="257" spans="1:51">
      <c r="A257" s="41" t="s">
        <v>49</v>
      </c>
      <c r="B257" s="42">
        <v>18</v>
      </c>
      <c r="C257" s="41" t="s">
        <v>70</v>
      </c>
      <c r="D257" s="41" t="s">
        <v>16</v>
      </c>
      <c r="E257" s="41" t="s">
        <v>47</v>
      </c>
      <c r="F257" s="41">
        <v>2017</v>
      </c>
      <c r="G257" s="13">
        <v>3065</v>
      </c>
      <c r="H257" s="13">
        <v>1127</v>
      </c>
      <c r="I257" s="13">
        <v>1938</v>
      </c>
      <c r="J257" s="13">
        <v>19363</v>
      </c>
      <c r="K257" s="13">
        <v>61</v>
      </c>
      <c r="L257" s="13">
        <v>6</v>
      </c>
      <c r="M257" s="13">
        <v>11</v>
      </c>
      <c r="N257" s="13">
        <v>2634</v>
      </c>
      <c r="O257" s="13">
        <v>67057.060818604514</v>
      </c>
      <c r="P257" s="13">
        <v>1299</v>
      </c>
      <c r="Q257" s="13">
        <v>3195</v>
      </c>
      <c r="R257" s="13">
        <v>643</v>
      </c>
      <c r="S257" s="13"/>
      <c r="T257" s="13"/>
      <c r="U257" s="13">
        <v>1099</v>
      </c>
      <c r="V257" s="13">
        <v>588</v>
      </c>
      <c r="W257" s="13">
        <v>639</v>
      </c>
      <c r="X257" s="13">
        <v>586</v>
      </c>
      <c r="Y257" s="13">
        <v>3065</v>
      </c>
      <c r="Z257" s="13">
        <v>51631392.890000001</v>
      </c>
      <c r="AA257" s="13">
        <v>123</v>
      </c>
      <c r="AB257" s="13">
        <v>361</v>
      </c>
      <c r="AC257" s="13">
        <v>629</v>
      </c>
      <c r="AD257" s="13">
        <v>82</v>
      </c>
      <c r="AE257" s="13"/>
      <c r="AF257" s="13"/>
      <c r="AG257" s="13"/>
      <c r="AH257" s="13">
        <v>0</v>
      </c>
      <c r="AI257" s="13"/>
      <c r="AJ257" s="13"/>
      <c r="AK257" s="13"/>
      <c r="AL257" s="13"/>
      <c r="AM257" s="13"/>
      <c r="AN257" s="13"/>
      <c r="AO257" s="13"/>
      <c r="AP257" s="13"/>
      <c r="AQ257" s="13"/>
      <c r="AR257" s="13"/>
      <c r="AS257" s="13"/>
      <c r="AT257" s="13"/>
      <c r="AU257" s="13"/>
      <c r="AV257" s="13"/>
      <c r="AW257" s="13"/>
      <c r="AX257" s="13"/>
      <c r="AY257" s="13"/>
    </row>
    <row r="258" spans="1:51">
      <c r="A258" s="41" t="s">
        <v>49</v>
      </c>
      <c r="B258" s="42">
        <v>19</v>
      </c>
      <c r="C258" s="41" t="s">
        <v>71</v>
      </c>
      <c r="D258" s="41" t="s">
        <v>17</v>
      </c>
      <c r="E258" s="41" t="s">
        <v>47</v>
      </c>
      <c r="F258" s="41">
        <v>2017</v>
      </c>
      <c r="G258" s="13">
        <v>21351</v>
      </c>
      <c r="H258" s="13">
        <v>8908</v>
      </c>
      <c r="I258" s="13">
        <v>12443</v>
      </c>
      <c r="J258" s="13">
        <v>95814</v>
      </c>
      <c r="K258" s="13">
        <v>274</v>
      </c>
      <c r="L258" s="13">
        <v>72</v>
      </c>
      <c r="M258" s="13">
        <v>71</v>
      </c>
      <c r="N258" s="13">
        <v>17358</v>
      </c>
      <c r="O258" s="13">
        <v>265652.98023607361</v>
      </c>
      <c r="P258" s="13">
        <v>9881</v>
      </c>
      <c r="Q258" s="13">
        <v>20067</v>
      </c>
      <c r="R258" s="13">
        <v>4051</v>
      </c>
      <c r="S258" s="13"/>
      <c r="T258" s="13"/>
      <c r="U258" s="13">
        <v>7442</v>
      </c>
      <c r="V258" s="13">
        <v>3658</v>
      </c>
      <c r="W258" s="13">
        <v>3684</v>
      </c>
      <c r="X258" s="13">
        <v>3551</v>
      </c>
      <c r="Y258" s="13">
        <v>21351</v>
      </c>
      <c r="Z258" s="13">
        <v>211600752.72999999</v>
      </c>
      <c r="AA258" s="13">
        <v>1046</v>
      </c>
      <c r="AB258" s="13">
        <v>1549</v>
      </c>
      <c r="AC258" s="13">
        <v>38367</v>
      </c>
      <c r="AD258" s="13">
        <v>1787</v>
      </c>
      <c r="AE258" s="13"/>
      <c r="AF258" s="13"/>
      <c r="AG258" s="13"/>
      <c r="AH258" s="13">
        <v>62504</v>
      </c>
      <c r="AI258" s="13">
        <v>511</v>
      </c>
      <c r="AJ258" s="13"/>
      <c r="AK258" s="13"/>
      <c r="AL258" s="13"/>
      <c r="AM258" s="13"/>
      <c r="AN258" s="13"/>
      <c r="AO258" s="13"/>
      <c r="AP258" s="13"/>
      <c r="AQ258" s="13"/>
      <c r="AR258" s="13"/>
      <c r="AS258" s="13"/>
      <c r="AT258" s="13"/>
      <c r="AU258" s="13"/>
      <c r="AV258" s="13"/>
      <c r="AW258" s="13"/>
      <c r="AX258" s="13"/>
      <c r="AY258" s="13"/>
    </row>
    <row r="259" spans="1:51">
      <c r="A259" s="41" t="s">
        <v>50</v>
      </c>
      <c r="B259" s="42">
        <v>20</v>
      </c>
      <c r="C259" s="41" t="s">
        <v>85</v>
      </c>
      <c r="D259" s="41" t="s">
        <v>28</v>
      </c>
      <c r="E259" s="41" t="s">
        <v>47</v>
      </c>
      <c r="F259" s="41">
        <v>2017</v>
      </c>
      <c r="G259" s="13">
        <v>6380</v>
      </c>
      <c r="H259" s="13">
        <v>2314</v>
      </c>
      <c r="I259" s="13">
        <v>4066</v>
      </c>
      <c r="J259" s="13">
        <v>72598</v>
      </c>
      <c r="K259" s="13">
        <v>127</v>
      </c>
      <c r="L259" s="13">
        <v>14</v>
      </c>
      <c r="M259" s="13">
        <v>16</v>
      </c>
      <c r="N259" s="13">
        <v>5239</v>
      </c>
      <c r="O259" s="13">
        <v>236266.70574677282</v>
      </c>
      <c r="P259" s="13">
        <v>2916</v>
      </c>
      <c r="Q259" s="13">
        <v>6379</v>
      </c>
      <c r="R259" s="13">
        <v>1323</v>
      </c>
      <c r="S259" s="13"/>
      <c r="T259" s="13"/>
      <c r="U259" s="13">
        <v>2259</v>
      </c>
      <c r="V259" s="13">
        <v>1128</v>
      </c>
      <c r="W259" s="13">
        <v>1203</v>
      </c>
      <c r="X259" s="13">
        <v>888</v>
      </c>
      <c r="Y259" s="13">
        <v>6380</v>
      </c>
      <c r="Z259" s="13">
        <v>173164800.44999999</v>
      </c>
      <c r="AA259" s="13">
        <v>381</v>
      </c>
      <c r="AB259" s="13">
        <v>637</v>
      </c>
      <c r="AC259" s="13">
        <v>2055</v>
      </c>
      <c r="AD259" s="13">
        <v>36</v>
      </c>
      <c r="AE259" s="13"/>
      <c r="AF259" s="13"/>
      <c r="AG259" s="13"/>
      <c r="AH259" s="13">
        <v>372</v>
      </c>
      <c r="AI259" s="13"/>
      <c r="AJ259" s="13"/>
      <c r="AK259" s="13"/>
      <c r="AL259" s="13"/>
      <c r="AM259" s="13"/>
      <c r="AN259" s="13"/>
      <c r="AO259" s="13"/>
      <c r="AP259" s="13"/>
      <c r="AQ259" s="13"/>
      <c r="AR259" s="13"/>
      <c r="AS259" s="13"/>
      <c r="AT259" s="13"/>
      <c r="AU259" s="13"/>
      <c r="AV259" s="13"/>
      <c r="AW259" s="13"/>
      <c r="AX259" s="13"/>
      <c r="AY259" s="13"/>
    </row>
    <row r="260" spans="1:51">
      <c r="A260" s="41" t="s">
        <v>49</v>
      </c>
      <c r="B260" s="42">
        <v>21</v>
      </c>
      <c r="C260" s="41" t="s">
        <v>72</v>
      </c>
      <c r="D260" s="41" t="s">
        <v>18</v>
      </c>
      <c r="E260" s="41" t="s">
        <v>47</v>
      </c>
      <c r="F260" s="41">
        <v>2017</v>
      </c>
      <c r="G260" s="13">
        <v>7439</v>
      </c>
      <c r="H260" s="13">
        <v>2917</v>
      </c>
      <c r="I260" s="13">
        <v>4522</v>
      </c>
      <c r="J260" s="13">
        <v>125596</v>
      </c>
      <c r="K260" s="13">
        <v>161</v>
      </c>
      <c r="L260" s="13">
        <v>37</v>
      </c>
      <c r="M260" s="13">
        <v>42</v>
      </c>
      <c r="N260" s="13">
        <v>6223</v>
      </c>
      <c r="O260" s="13">
        <v>364173.02984084236</v>
      </c>
      <c r="P260" s="13">
        <v>4223</v>
      </c>
      <c r="Q260" s="13">
        <v>7260</v>
      </c>
      <c r="R260" s="13">
        <v>1855</v>
      </c>
      <c r="S260" s="13"/>
      <c r="T260" s="13"/>
      <c r="U260" s="13">
        <v>2818</v>
      </c>
      <c r="V260" s="13">
        <v>1669</v>
      </c>
      <c r="W260" s="13">
        <v>1681</v>
      </c>
      <c r="X260" s="13">
        <v>1562</v>
      </c>
      <c r="Y260" s="13">
        <v>7439</v>
      </c>
      <c r="Z260" s="13">
        <v>146685714.02000001</v>
      </c>
      <c r="AA260" s="13">
        <v>393</v>
      </c>
      <c r="AB260" s="13">
        <v>1005</v>
      </c>
      <c r="AC260" s="13">
        <v>4484</v>
      </c>
      <c r="AD260" s="13">
        <v>168</v>
      </c>
      <c r="AE260" s="13"/>
      <c r="AF260" s="13"/>
      <c r="AG260" s="13"/>
      <c r="AH260" s="13">
        <v>4232</v>
      </c>
      <c r="AI260" s="13"/>
      <c r="AJ260" s="13"/>
      <c r="AK260" s="13"/>
      <c r="AL260" s="13"/>
      <c r="AM260" s="13"/>
      <c r="AN260" s="13"/>
      <c r="AO260" s="13"/>
      <c r="AP260" s="13"/>
      <c r="AQ260" s="13"/>
      <c r="AR260" s="13"/>
      <c r="AS260" s="13"/>
      <c r="AT260" s="13"/>
      <c r="AU260" s="13"/>
      <c r="AV260" s="13"/>
      <c r="AW260" s="13"/>
      <c r="AX260" s="13"/>
      <c r="AY260" s="13"/>
    </row>
    <row r="261" spans="1:51">
      <c r="A261" s="41" t="s">
        <v>49</v>
      </c>
      <c r="B261" s="42">
        <v>22</v>
      </c>
      <c r="C261" s="41" t="s">
        <v>73</v>
      </c>
      <c r="D261" s="41" t="s">
        <v>29</v>
      </c>
      <c r="E261" s="41" t="s">
        <v>47</v>
      </c>
      <c r="F261" s="41">
        <v>2017</v>
      </c>
      <c r="G261" s="13">
        <v>3418</v>
      </c>
      <c r="H261" s="13">
        <v>1463</v>
      </c>
      <c r="I261" s="13">
        <v>1955</v>
      </c>
      <c r="J261" s="13">
        <v>34515</v>
      </c>
      <c r="K261" s="13">
        <v>66</v>
      </c>
      <c r="L261" s="13">
        <v>16</v>
      </c>
      <c r="M261" s="13">
        <v>25</v>
      </c>
      <c r="N261" s="13">
        <v>2873</v>
      </c>
      <c r="O261" s="13">
        <v>113026.69883774169</v>
      </c>
      <c r="P261" s="13">
        <v>2071</v>
      </c>
      <c r="Q261" s="13">
        <v>3418</v>
      </c>
      <c r="R261" s="13">
        <v>884</v>
      </c>
      <c r="S261" s="13"/>
      <c r="T261" s="13"/>
      <c r="U261" s="13">
        <v>1476</v>
      </c>
      <c r="V261" s="13">
        <v>811</v>
      </c>
      <c r="W261" s="13">
        <v>754</v>
      </c>
      <c r="X261" s="13">
        <v>723</v>
      </c>
      <c r="Y261" s="13">
        <v>3418</v>
      </c>
      <c r="Z261" s="13">
        <v>45334871.540000007</v>
      </c>
      <c r="AA261" s="13">
        <v>246</v>
      </c>
      <c r="AB261" s="13">
        <v>449</v>
      </c>
      <c r="AC261" s="13">
        <v>1617</v>
      </c>
      <c r="AD261" s="13">
        <v>71</v>
      </c>
      <c r="AE261" s="13"/>
      <c r="AF261" s="13"/>
      <c r="AG261" s="13"/>
      <c r="AH261" s="13">
        <v>0</v>
      </c>
      <c r="AI261" s="13"/>
      <c r="AJ261" s="13"/>
      <c r="AK261" s="13"/>
      <c r="AL261" s="13"/>
      <c r="AM261" s="13"/>
      <c r="AN261" s="13"/>
      <c r="AO261" s="13"/>
      <c r="AP261" s="13"/>
      <c r="AQ261" s="13"/>
      <c r="AR261" s="13"/>
      <c r="AS261" s="13"/>
      <c r="AT261" s="13"/>
      <c r="AU261" s="13"/>
      <c r="AV261" s="13"/>
      <c r="AW261" s="13"/>
      <c r="AX261" s="13"/>
      <c r="AY261" s="13"/>
    </row>
    <row r="262" spans="1:51">
      <c r="A262" s="41" t="s">
        <v>49</v>
      </c>
      <c r="B262" s="42">
        <v>23</v>
      </c>
      <c r="C262" s="41" t="s">
        <v>74</v>
      </c>
      <c r="D262" s="41" t="s">
        <v>19</v>
      </c>
      <c r="E262" s="41" t="s">
        <v>47</v>
      </c>
      <c r="F262" s="41">
        <v>2017</v>
      </c>
      <c r="G262" s="13">
        <v>8622</v>
      </c>
      <c r="H262" s="13">
        <v>3406</v>
      </c>
      <c r="I262" s="13">
        <v>5216</v>
      </c>
      <c r="J262" s="13">
        <v>26440</v>
      </c>
      <c r="K262" s="13">
        <v>109</v>
      </c>
      <c r="L262" s="13">
        <v>15</v>
      </c>
      <c r="M262" s="13">
        <v>29</v>
      </c>
      <c r="N262" s="13">
        <v>7095</v>
      </c>
      <c r="O262" s="13">
        <v>83978.873874572979</v>
      </c>
      <c r="P262" s="13">
        <v>3817</v>
      </c>
      <c r="Q262" s="13">
        <v>8129</v>
      </c>
      <c r="R262" s="13">
        <v>1739</v>
      </c>
      <c r="S262" s="13"/>
      <c r="T262" s="13"/>
      <c r="U262" s="13">
        <v>2777</v>
      </c>
      <c r="V262" s="13">
        <v>1512</v>
      </c>
      <c r="W262" s="13">
        <v>1830</v>
      </c>
      <c r="X262" s="13">
        <v>1697</v>
      </c>
      <c r="Y262" s="13">
        <v>8622</v>
      </c>
      <c r="Z262" s="13">
        <v>97942159.229999989</v>
      </c>
      <c r="AA262" s="13">
        <v>432</v>
      </c>
      <c r="AB262" s="13">
        <v>771</v>
      </c>
      <c r="AC262" s="13">
        <v>210</v>
      </c>
      <c r="AD262" s="13">
        <v>0</v>
      </c>
      <c r="AE262" s="13"/>
      <c r="AF262" s="13"/>
      <c r="AG262" s="13"/>
      <c r="AH262" s="13">
        <v>32</v>
      </c>
      <c r="AI262" s="13"/>
      <c r="AJ262" s="13"/>
      <c r="AK262" s="13"/>
      <c r="AL262" s="13"/>
      <c r="AM262" s="13"/>
      <c r="AN262" s="13"/>
      <c r="AO262" s="13"/>
      <c r="AP262" s="13"/>
      <c r="AQ262" s="13"/>
      <c r="AR262" s="13"/>
      <c r="AS262" s="13"/>
      <c r="AT262" s="13"/>
      <c r="AU262" s="13"/>
      <c r="AV262" s="13"/>
      <c r="AW262" s="13"/>
      <c r="AX262" s="13"/>
      <c r="AY262" s="13"/>
    </row>
    <row r="263" spans="1:51">
      <c r="A263" s="41" t="s">
        <v>49</v>
      </c>
      <c r="B263" s="42">
        <v>24</v>
      </c>
      <c r="C263" s="41" t="s">
        <v>75</v>
      </c>
      <c r="D263" s="41" t="s">
        <v>20</v>
      </c>
      <c r="E263" s="41" t="s">
        <v>47</v>
      </c>
      <c r="F263" s="41">
        <v>2017</v>
      </c>
      <c r="G263" s="13">
        <v>5729</v>
      </c>
      <c r="H263" s="13">
        <v>2322</v>
      </c>
      <c r="I263" s="13">
        <v>3407</v>
      </c>
      <c r="J263" s="13">
        <v>58469</v>
      </c>
      <c r="K263" s="13">
        <v>90</v>
      </c>
      <c r="L263" s="13">
        <v>19</v>
      </c>
      <c r="M263" s="13">
        <v>25</v>
      </c>
      <c r="N263" s="13">
        <v>4445</v>
      </c>
      <c r="O263" s="13">
        <v>159670.65915548397</v>
      </c>
      <c r="P263" s="13">
        <v>3026</v>
      </c>
      <c r="Q263" s="13">
        <v>5400</v>
      </c>
      <c r="R263" s="13">
        <v>1125</v>
      </c>
      <c r="S263" s="13"/>
      <c r="T263" s="13"/>
      <c r="U263" s="13">
        <v>2096</v>
      </c>
      <c r="V263" s="13">
        <v>989</v>
      </c>
      <c r="W263" s="13">
        <v>980</v>
      </c>
      <c r="X263" s="13">
        <v>921</v>
      </c>
      <c r="Y263" s="13">
        <v>5729</v>
      </c>
      <c r="Z263" s="13">
        <v>85770398.209999993</v>
      </c>
      <c r="AA263" s="13">
        <v>249</v>
      </c>
      <c r="AB263" s="13">
        <v>427</v>
      </c>
      <c r="AC263" s="13">
        <v>4791</v>
      </c>
      <c r="AD263" s="13">
        <v>190</v>
      </c>
      <c r="AE263" s="13"/>
      <c r="AF263" s="13"/>
      <c r="AG263" s="13"/>
      <c r="AH263" s="13">
        <v>851</v>
      </c>
      <c r="AI263" s="13"/>
      <c r="AJ263" s="13"/>
      <c r="AK263" s="13"/>
      <c r="AL263" s="13"/>
      <c r="AM263" s="13"/>
      <c r="AN263" s="13"/>
      <c r="AO263" s="13"/>
      <c r="AP263" s="13"/>
      <c r="AQ263" s="13"/>
      <c r="AR263" s="13"/>
      <c r="AS263" s="13"/>
      <c r="AT263" s="13"/>
      <c r="AU263" s="13"/>
      <c r="AV263" s="13"/>
      <c r="AW263" s="13"/>
      <c r="AX263" s="13"/>
      <c r="AY263" s="13"/>
    </row>
    <row r="264" spans="1:51">
      <c r="A264" s="41" t="s">
        <v>49</v>
      </c>
      <c r="B264" s="42">
        <v>25</v>
      </c>
      <c r="C264" s="41" t="s">
        <v>76</v>
      </c>
      <c r="D264" s="41" t="s">
        <v>21</v>
      </c>
      <c r="E264" s="41" t="s">
        <v>47</v>
      </c>
      <c r="F264" s="41">
        <v>2017</v>
      </c>
      <c r="G264" s="13">
        <v>8577</v>
      </c>
      <c r="H264" s="13">
        <v>3909</v>
      </c>
      <c r="I264" s="13">
        <v>4668</v>
      </c>
      <c r="J264" s="13">
        <v>54201</v>
      </c>
      <c r="K264" s="13">
        <v>216</v>
      </c>
      <c r="L264" s="13">
        <v>67</v>
      </c>
      <c r="M264" s="13">
        <v>42</v>
      </c>
      <c r="N264" s="13">
        <v>7468</v>
      </c>
      <c r="O264" s="13">
        <v>163676.19828688691</v>
      </c>
      <c r="P264" s="13">
        <v>4442</v>
      </c>
      <c r="Q264" s="13">
        <v>7854</v>
      </c>
      <c r="R264" s="13">
        <v>1915</v>
      </c>
      <c r="S264" s="13"/>
      <c r="T264" s="13"/>
      <c r="U264" s="13">
        <v>3009</v>
      </c>
      <c r="V264" s="13">
        <v>1739</v>
      </c>
      <c r="W264" s="13">
        <v>2335</v>
      </c>
      <c r="X264" s="13">
        <v>2244</v>
      </c>
      <c r="Y264" s="13">
        <v>8577</v>
      </c>
      <c r="Z264" s="13">
        <v>217435835.59</v>
      </c>
      <c r="AA264" s="13">
        <v>535</v>
      </c>
      <c r="AB264" s="13">
        <v>1117</v>
      </c>
      <c r="AC264" s="13">
        <v>410</v>
      </c>
      <c r="AD264" s="13">
        <v>241</v>
      </c>
      <c r="AE264" s="13"/>
      <c r="AF264" s="13"/>
      <c r="AG264" s="13"/>
      <c r="AH264" s="13">
        <v>28</v>
      </c>
      <c r="AI264" s="13"/>
      <c r="AJ264" s="13"/>
      <c r="AK264" s="13"/>
      <c r="AL264" s="13"/>
      <c r="AM264" s="13"/>
      <c r="AN264" s="13"/>
      <c r="AO264" s="13"/>
      <c r="AP264" s="13"/>
      <c r="AQ264" s="13"/>
      <c r="AR264" s="13"/>
      <c r="AS264" s="13"/>
      <c r="AT264" s="13"/>
      <c r="AU264" s="13"/>
      <c r="AV264" s="13"/>
      <c r="AW264" s="13"/>
      <c r="AX264" s="13"/>
      <c r="AY264" s="13"/>
    </row>
    <row r="265" spans="1:51">
      <c r="A265" s="41" t="s">
        <v>49</v>
      </c>
      <c r="B265" s="42">
        <v>26</v>
      </c>
      <c r="C265" s="41" t="s">
        <v>77</v>
      </c>
      <c r="D265" s="41" t="s">
        <v>22</v>
      </c>
      <c r="E265" s="41" t="s">
        <v>47</v>
      </c>
      <c r="F265" s="41">
        <v>2017</v>
      </c>
      <c r="G265" s="13">
        <v>15277</v>
      </c>
      <c r="H265" s="13">
        <v>6180</v>
      </c>
      <c r="I265" s="13">
        <v>9097</v>
      </c>
      <c r="J265" s="13">
        <v>48293</v>
      </c>
      <c r="K265" s="13">
        <v>260</v>
      </c>
      <c r="L265" s="13">
        <v>35</v>
      </c>
      <c r="M265" s="13">
        <v>49</v>
      </c>
      <c r="N265" s="13">
        <v>12888</v>
      </c>
      <c r="O265" s="13">
        <v>159910.74779471883</v>
      </c>
      <c r="P265" s="13">
        <v>6335</v>
      </c>
      <c r="Q265" s="13">
        <v>15385</v>
      </c>
      <c r="R265" s="13">
        <v>2886</v>
      </c>
      <c r="S265" s="13"/>
      <c r="T265" s="13"/>
      <c r="U265" s="13">
        <v>5686</v>
      </c>
      <c r="V265" s="13">
        <v>2463</v>
      </c>
      <c r="W265" s="13">
        <v>2385</v>
      </c>
      <c r="X265" s="13">
        <v>1963</v>
      </c>
      <c r="Y265" s="13">
        <v>15277</v>
      </c>
      <c r="Z265" s="13">
        <v>220480112.47</v>
      </c>
      <c r="AA265" s="13">
        <v>605</v>
      </c>
      <c r="AB265" s="13">
        <v>857</v>
      </c>
      <c r="AC265" s="13">
        <v>7657</v>
      </c>
      <c r="AD265" s="13">
        <v>579</v>
      </c>
      <c r="AE265" s="13"/>
      <c r="AF265" s="13"/>
      <c r="AG265" s="13"/>
      <c r="AH265" s="13">
        <v>0</v>
      </c>
      <c r="AI265" s="13"/>
      <c r="AJ265" s="13"/>
      <c r="AK265" s="13"/>
      <c r="AL265" s="13"/>
      <c r="AM265" s="13"/>
      <c r="AN265" s="13"/>
      <c r="AO265" s="13"/>
      <c r="AP265" s="13"/>
      <c r="AQ265" s="13"/>
      <c r="AR265" s="13"/>
      <c r="AS265" s="13"/>
      <c r="AT265" s="13"/>
      <c r="AU265" s="13"/>
      <c r="AV265" s="13"/>
      <c r="AW265" s="13"/>
      <c r="AX265" s="13"/>
      <c r="AY265" s="13"/>
    </row>
    <row r="266" spans="1:51">
      <c r="A266" s="41" t="s">
        <v>49</v>
      </c>
      <c r="B266" s="42">
        <v>27</v>
      </c>
      <c r="C266" s="41" t="s">
        <v>78</v>
      </c>
      <c r="D266" s="41" t="s">
        <v>23</v>
      </c>
      <c r="E266" s="41" t="s">
        <v>47</v>
      </c>
      <c r="F266" s="41">
        <v>2017</v>
      </c>
      <c r="G266" s="13">
        <v>5685</v>
      </c>
      <c r="H266" s="13">
        <v>2206</v>
      </c>
      <c r="I266" s="13">
        <v>3479</v>
      </c>
      <c r="J266" s="13">
        <v>40315</v>
      </c>
      <c r="K266" s="13">
        <v>89</v>
      </c>
      <c r="L266" s="13">
        <v>20</v>
      </c>
      <c r="M266" s="13">
        <v>22</v>
      </c>
      <c r="N266" s="13">
        <v>4884</v>
      </c>
      <c r="O266" s="13">
        <v>133447.88163723628</v>
      </c>
      <c r="P266" s="13">
        <v>2207</v>
      </c>
      <c r="Q266" s="13">
        <v>5584</v>
      </c>
      <c r="R266" s="13">
        <v>1400</v>
      </c>
      <c r="S266" s="13"/>
      <c r="T266" s="13"/>
      <c r="U266" s="13">
        <v>2162</v>
      </c>
      <c r="V266" s="13">
        <v>1303</v>
      </c>
      <c r="W266" s="13">
        <v>1341</v>
      </c>
      <c r="X266" s="13">
        <v>1270</v>
      </c>
      <c r="Y266" s="13">
        <v>5685</v>
      </c>
      <c r="Z266" s="13">
        <v>109629582.92000002</v>
      </c>
      <c r="AA266" s="13">
        <v>294</v>
      </c>
      <c r="AB266" s="13">
        <v>484</v>
      </c>
      <c r="AC266" s="13">
        <v>1011</v>
      </c>
      <c r="AD266" s="13">
        <v>4</v>
      </c>
      <c r="AE266" s="13"/>
      <c r="AF266" s="13"/>
      <c r="AG266" s="13"/>
      <c r="AH266" s="13">
        <v>8</v>
      </c>
      <c r="AI266" s="13"/>
      <c r="AJ266" s="13"/>
      <c r="AK266" s="13"/>
      <c r="AL266" s="13"/>
      <c r="AM266" s="13"/>
      <c r="AN266" s="13"/>
      <c r="AO266" s="13"/>
      <c r="AP266" s="13"/>
      <c r="AQ266" s="13"/>
      <c r="AR266" s="13"/>
      <c r="AS266" s="13"/>
      <c r="AT266" s="13"/>
      <c r="AU266" s="13"/>
      <c r="AV266" s="13"/>
      <c r="AW266" s="13"/>
      <c r="AX266" s="13"/>
      <c r="AY266" s="13"/>
    </row>
    <row r="267" spans="1:51">
      <c r="A267" s="41" t="s">
        <v>49</v>
      </c>
      <c r="B267" s="42">
        <v>28</v>
      </c>
      <c r="C267" s="41" t="s">
        <v>79</v>
      </c>
      <c r="D267" s="41" t="s">
        <v>24</v>
      </c>
      <c r="E267" s="41" t="s">
        <v>47</v>
      </c>
      <c r="F267" s="41">
        <v>2017</v>
      </c>
      <c r="G267" s="13">
        <v>8707</v>
      </c>
      <c r="H267" s="13">
        <v>3276</v>
      </c>
      <c r="I267" s="13">
        <v>5431</v>
      </c>
      <c r="J267" s="13">
        <v>53952</v>
      </c>
      <c r="K267" s="13">
        <v>157</v>
      </c>
      <c r="L267" s="13">
        <v>30</v>
      </c>
      <c r="M267" s="13">
        <v>37</v>
      </c>
      <c r="N267" s="13">
        <v>7558</v>
      </c>
      <c r="O267" s="13">
        <v>187602.00965312397</v>
      </c>
      <c r="P267" s="13">
        <v>3644</v>
      </c>
      <c r="Q267" s="13">
        <v>8929</v>
      </c>
      <c r="R267" s="13">
        <v>2127</v>
      </c>
      <c r="S267" s="13"/>
      <c r="T267" s="13"/>
      <c r="U267" s="13">
        <v>3511</v>
      </c>
      <c r="V267" s="13">
        <v>1898</v>
      </c>
      <c r="W267" s="13">
        <v>1856</v>
      </c>
      <c r="X267" s="13">
        <v>1721</v>
      </c>
      <c r="Y267" s="13">
        <v>8707</v>
      </c>
      <c r="Z267" s="13">
        <v>170226883.19999999</v>
      </c>
      <c r="AA267" s="13">
        <v>392</v>
      </c>
      <c r="AB267" s="13">
        <v>1077</v>
      </c>
      <c r="AC267" s="13">
        <v>10735</v>
      </c>
      <c r="AD267" s="13">
        <v>177</v>
      </c>
      <c r="AE267" s="13"/>
      <c r="AF267" s="13"/>
      <c r="AG267" s="13"/>
      <c r="AH267" s="13">
        <v>95</v>
      </c>
      <c r="AI267" s="13">
        <v>711</v>
      </c>
      <c r="AJ267" s="13"/>
      <c r="AK267" s="13"/>
      <c r="AL267" s="13"/>
      <c r="AM267" s="13"/>
      <c r="AN267" s="13"/>
      <c r="AO267" s="13"/>
      <c r="AP267" s="13"/>
      <c r="AQ267" s="13"/>
      <c r="AR267" s="13"/>
      <c r="AS267" s="13"/>
      <c r="AT267" s="13"/>
      <c r="AU267" s="13"/>
      <c r="AV267" s="13"/>
      <c r="AW267" s="13"/>
      <c r="AX267" s="13"/>
      <c r="AY267" s="13"/>
    </row>
    <row r="268" spans="1:51">
      <c r="A268" s="41" t="s">
        <v>49</v>
      </c>
      <c r="B268" s="42">
        <v>29</v>
      </c>
      <c r="C268" s="41" t="s">
        <v>80</v>
      </c>
      <c r="D268" s="41" t="s">
        <v>25</v>
      </c>
      <c r="E268" s="41" t="s">
        <v>47</v>
      </c>
      <c r="F268" s="41">
        <v>2017</v>
      </c>
      <c r="G268" s="13">
        <v>3243</v>
      </c>
      <c r="H268" s="13">
        <v>1320</v>
      </c>
      <c r="I268" s="13">
        <v>1923</v>
      </c>
      <c r="J268" s="13">
        <v>23702</v>
      </c>
      <c r="K268" s="13">
        <v>48</v>
      </c>
      <c r="L268" s="13">
        <v>21</v>
      </c>
      <c r="M268" s="13">
        <v>13</v>
      </c>
      <c r="N268" s="13">
        <v>2929</v>
      </c>
      <c r="O268" s="13">
        <v>74174.189282836684</v>
      </c>
      <c r="P268" s="13">
        <v>1484</v>
      </c>
      <c r="Q268" s="13">
        <v>3036</v>
      </c>
      <c r="R268" s="13">
        <v>688</v>
      </c>
      <c r="S268" s="13"/>
      <c r="T268" s="13"/>
      <c r="U268" s="13">
        <v>1224</v>
      </c>
      <c r="V268" s="13">
        <v>562</v>
      </c>
      <c r="W268" s="13">
        <v>604</v>
      </c>
      <c r="X268" s="13">
        <v>596</v>
      </c>
      <c r="Y268" s="13">
        <v>3243</v>
      </c>
      <c r="Z268" s="13">
        <v>41570346.460000008</v>
      </c>
      <c r="AA268" s="13">
        <v>176</v>
      </c>
      <c r="AB268" s="13">
        <v>455</v>
      </c>
      <c r="AC268" s="13">
        <v>1455</v>
      </c>
      <c r="AD268" s="13">
        <v>43</v>
      </c>
      <c r="AE268" s="13"/>
      <c r="AF268" s="13"/>
      <c r="AG268" s="13"/>
      <c r="AH268" s="13">
        <v>66</v>
      </c>
      <c r="AI268" s="13"/>
      <c r="AJ268" s="13"/>
      <c r="AK268" s="13"/>
      <c r="AL268" s="13"/>
      <c r="AM268" s="13"/>
      <c r="AN268" s="13"/>
      <c r="AO268" s="13"/>
      <c r="AP268" s="13"/>
      <c r="AQ268" s="13"/>
      <c r="AR268" s="13"/>
      <c r="AS268" s="13"/>
      <c r="AT268" s="13"/>
      <c r="AU268" s="13"/>
      <c r="AV268" s="13"/>
      <c r="AW268" s="13"/>
      <c r="AX268" s="13"/>
      <c r="AY268" s="13"/>
    </row>
    <row r="269" spans="1:51">
      <c r="A269" s="41" t="s">
        <v>49</v>
      </c>
      <c r="B269" s="42">
        <v>30</v>
      </c>
      <c r="C269" s="41" t="s">
        <v>81</v>
      </c>
      <c r="D269" s="41" t="s">
        <v>53</v>
      </c>
      <c r="E269" s="41" t="s">
        <v>47</v>
      </c>
      <c r="F269" s="41">
        <v>2017</v>
      </c>
      <c r="G269" s="13">
        <v>9115</v>
      </c>
      <c r="H269" s="13">
        <v>3208</v>
      </c>
      <c r="I269" s="13">
        <v>5907</v>
      </c>
      <c r="J269" s="13">
        <v>135695</v>
      </c>
      <c r="K269" s="13">
        <v>176</v>
      </c>
      <c r="L269" s="13">
        <v>40</v>
      </c>
      <c r="M269" s="13">
        <v>78</v>
      </c>
      <c r="N269" s="13">
        <v>7767</v>
      </c>
      <c r="O269" s="13">
        <v>437150.9048392534</v>
      </c>
      <c r="P269" s="13">
        <v>4837</v>
      </c>
      <c r="Q269" s="13">
        <v>9302</v>
      </c>
      <c r="R269" s="13">
        <v>2432</v>
      </c>
      <c r="S269" s="13"/>
      <c r="T269" s="13"/>
      <c r="U269" s="13">
        <v>3471</v>
      </c>
      <c r="V269" s="13">
        <v>2218</v>
      </c>
      <c r="W269" s="13">
        <v>2121</v>
      </c>
      <c r="X269" s="13">
        <v>1869</v>
      </c>
      <c r="Y269" s="13">
        <v>9115</v>
      </c>
      <c r="Z269" s="13">
        <v>223349061.37000003</v>
      </c>
      <c r="AA269" s="13">
        <v>549</v>
      </c>
      <c r="AB269" s="13">
        <v>1543</v>
      </c>
      <c r="AC269" s="13">
        <v>5496</v>
      </c>
      <c r="AD269" s="13">
        <v>115</v>
      </c>
      <c r="AE269" s="13"/>
      <c r="AF269" s="13"/>
      <c r="AG269" s="13"/>
      <c r="AH269" s="13">
        <v>580</v>
      </c>
      <c r="AI269" s="13">
        <v>631</v>
      </c>
      <c r="AJ269" s="13"/>
      <c r="AK269" s="13"/>
      <c r="AL269" s="13"/>
      <c r="AM269" s="13"/>
      <c r="AN269" s="13"/>
      <c r="AO269" s="13"/>
      <c r="AP269" s="13"/>
      <c r="AQ269" s="13"/>
      <c r="AR269" s="13"/>
      <c r="AS269" s="13"/>
      <c r="AT269" s="13"/>
      <c r="AU269" s="13"/>
      <c r="AV269" s="13"/>
      <c r="AW269" s="13"/>
      <c r="AX269" s="13"/>
      <c r="AY269" s="13"/>
    </row>
    <row r="270" spans="1:51">
      <c r="A270" s="41" t="s">
        <v>49</v>
      </c>
      <c r="B270" s="42">
        <v>31</v>
      </c>
      <c r="C270" s="41" t="s">
        <v>82</v>
      </c>
      <c r="D270" s="41" t="s">
        <v>26</v>
      </c>
      <c r="E270" s="41" t="s">
        <v>47</v>
      </c>
      <c r="F270" s="41">
        <v>2017</v>
      </c>
      <c r="G270" s="13">
        <v>5258</v>
      </c>
      <c r="H270" s="13">
        <v>2052</v>
      </c>
      <c r="I270" s="13">
        <v>3206</v>
      </c>
      <c r="J270" s="13">
        <v>36412</v>
      </c>
      <c r="K270" s="13">
        <v>69</v>
      </c>
      <c r="L270" s="13">
        <v>10</v>
      </c>
      <c r="M270" s="13">
        <v>17</v>
      </c>
      <c r="N270" s="13">
        <v>3892</v>
      </c>
      <c r="O270" s="13">
        <v>110577.73312521525</v>
      </c>
      <c r="P270" s="13">
        <v>2516</v>
      </c>
      <c r="Q270" s="13">
        <v>5114</v>
      </c>
      <c r="R270" s="13">
        <v>1149</v>
      </c>
      <c r="S270" s="13"/>
      <c r="T270" s="13"/>
      <c r="U270" s="13">
        <v>1794</v>
      </c>
      <c r="V270" s="13">
        <v>1031</v>
      </c>
      <c r="W270" s="13">
        <v>982</v>
      </c>
      <c r="X270" s="13">
        <v>792</v>
      </c>
      <c r="Y270" s="13">
        <v>5258</v>
      </c>
      <c r="Z270" s="13">
        <v>98997778.909999996</v>
      </c>
      <c r="AA270" s="13">
        <v>272</v>
      </c>
      <c r="AB270" s="13">
        <v>484</v>
      </c>
      <c r="AC270" s="13">
        <v>4545</v>
      </c>
      <c r="AD270" s="13">
        <v>421</v>
      </c>
      <c r="AE270" s="13"/>
      <c r="AF270" s="13"/>
      <c r="AG270" s="13"/>
      <c r="AH270" s="13">
        <v>429</v>
      </c>
      <c r="AI270" s="13"/>
      <c r="AJ270" s="13"/>
      <c r="AK270" s="13"/>
      <c r="AL270" s="13"/>
      <c r="AM270" s="13"/>
      <c r="AN270" s="13"/>
      <c r="AO270" s="13"/>
      <c r="AP270" s="13"/>
      <c r="AQ270" s="13"/>
      <c r="AR270" s="13"/>
      <c r="AS270" s="13"/>
      <c r="AT270" s="13"/>
      <c r="AU270" s="13"/>
      <c r="AV270" s="13"/>
      <c r="AW270" s="13"/>
      <c r="AX270" s="13"/>
      <c r="AY270" s="13"/>
    </row>
    <row r="271" spans="1:51">
      <c r="A271" s="41" t="s">
        <v>49</v>
      </c>
      <c r="B271" s="42">
        <v>32</v>
      </c>
      <c r="C271" s="41" t="s">
        <v>83</v>
      </c>
      <c r="D271" s="41" t="s">
        <v>27</v>
      </c>
      <c r="E271" s="41" t="s">
        <v>47</v>
      </c>
      <c r="F271" s="41">
        <v>2017</v>
      </c>
      <c r="G271" s="13">
        <v>1552</v>
      </c>
      <c r="H271" s="13">
        <v>675</v>
      </c>
      <c r="I271" s="13">
        <v>877</v>
      </c>
      <c r="J271" s="13">
        <v>28539</v>
      </c>
      <c r="K271" s="13">
        <v>51</v>
      </c>
      <c r="L271" s="13">
        <v>12</v>
      </c>
      <c r="M271" s="13">
        <v>9</v>
      </c>
      <c r="N271" s="13">
        <v>1230</v>
      </c>
      <c r="O271" s="13">
        <v>89510.408551906468</v>
      </c>
      <c r="P271" s="13">
        <v>746</v>
      </c>
      <c r="Q271" s="13">
        <v>1610</v>
      </c>
      <c r="R271" s="13">
        <v>305</v>
      </c>
      <c r="S271" s="13"/>
      <c r="T271" s="13"/>
      <c r="U271" s="13">
        <v>695</v>
      </c>
      <c r="V271" s="13">
        <v>260</v>
      </c>
      <c r="W271" s="13">
        <v>292</v>
      </c>
      <c r="X271" s="13">
        <v>288</v>
      </c>
      <c r="Y271" s="13">
        <v>1552</v>
      </c>
      <c r="Z271" s="13">
        <v>36192694.990000002</v>
      </c>
      <c r="AA271" s="13">
        <v>74</v>
      </c>
      <c r="AB271" s="13">
        <v>197</v>
      </c>
      <c r="AC271" s="13">
        <v>2319</v>
      </c>
      <c r="AD271" s="13">
        <v>84</v>
      </c>
      <c r="AE271" s="13"/>
      <c r="AF271" s="13"/>
      <c r="AG271" s="13"/>
      <c r="AH271" s="13">
        <v>0</v>
      </c>
      <c r="AI271" s="13"/>
      <c r="AJ271" s="13"/>
      <c r="AK271" s="13"/>
      <c r="AL271" s="13"/>
      <c r="AM271" s="13"/>
      <c r="AN271" s="13"/>
      <c r="AO271" s="13"/>
      <c r="AP271" s="13"/>
      <c r="AQ271" s="13"/>
      <c r="AR271" s="13"/>
      <c r="AS271" s="13"/>
      <c r="AT271" s="13"/>
      <c r="AU271" s="13"/>
      <c r="AV271" s="13"/>
      <c r="AW271" s="13"/>
      <c r="AX271" s="13"/>
      <c r="AY271" s="13"/>
    </row>
    <row r="272" spans="1:51">
      <c r="A272" s="41" t="s">
        <v>124</v>
      </c>
      <c r="B272" s="42">
        <v>33</v>
      </c>
      <c r="C272" s="41" t="s">
        <v>125</v>
      </c>
      <c r="D272" s="41" t="s">
        <v>40</v>
      </c>
      <c r="E272" s="41" t="s">
        <v>47</v>
      </c>
      <c r="F272" s="41">
        <v>2017</v>
      </c>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v>187</v>
      </c>
      <c r="AI272" s="13"/>
      <c r="AJ272" s="13"/>
      <c r="AK272" s="13"/>
      <c r="AL272" s="13"/>
      <c r="AM272" s="13"/>
      <c r="AN272" s="13"/>
      <c r="AO272" s="13"/>
      <c r="AP272" s="13"/>
      <c r="AQ272" s="13"/>
      <c r="AR272" s="13"/>
      <c r="AS272" s="13"/>
      <c r="AT272" s="13"/>
      <c r="AU272" s="13"/>
      <c r="AV272" s="13"/>
      <c r="AW272" s="13"/>
      <c r="AX272" s="13"/>
      <c r="AY272" s="13"/>
    </row>
    <row r="273" spans="1:51">
      <c r="A273" s="41" t="s">
        <v>50</v>
      </c>
      <c r="B273" s="42">
        <v>0</v>
      </c>
      <c r="C273" s="41" t="s">
        <v>123</v>
      </c>
      <c r="D273" s="41" t="s">
        <v>39</v>
      </c>
      <c r="E273" s="41" t="s">
        <v>47</v>
      </c>
      <c r="F273" s="41">
        <v>2017</v>
      </c>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v>3330</v>
      </c>
      <c r="AD273" s="13"/>
      <c r="AE273" s="13"/>
      <c r="AF273" s="13"/>
      <c r="AG273" s="13"/>
      <c r="AH273" s="13">
        <v>459</v>
      </c>
      <c r="AI273" s="13"/>
      <c r="AJ273" s="13">
        <v>364874.22713000007</v>
      </c>
      <c r="AK273" s="13">
        <v>1581332.3219999999</v>
      </c>
      <c r="AL273" s="13">
        <v>1581332.3219999999</v>
      </c>
      <c r="AM273" s="13">
        <v>1587194</v>
      </c>
      <c r="AN273" s="13">
        <v>1532193.57</v>
      </c>
      <c r="AO273" s="13">
        <v>1532193.57</v>
      </c>
      <c r="AP273" s="13">
        <v>1522202.77</v>
      </c>
      <c r="AQ273" s="13">
        <v>1528064.0179999999</v>
      </c>
      <c r="AR273" s="13">
        <v>59130</v>
      </c>
      <c r="AS273" s="13">
        <v>59130</v>
      </c>
      <c r="AT273" s="13">
        <v>49138.752</v>
      </c>
      <c r="AU273" s="13">
        <v>1581332.3219999999</v>
      </c>
      <c r="AV273" s="13">
        <v>49482.362999999998</v>
      </c>
      <c r="AW273" s="13">
        <v>55000</v>
      </c>
      <c r="AX273" s="13">
        <v>1581332.3219999999</v>
      </c>
      <c r="AY273" s="13">
        <v>1587193.57</v>
      </c>
    </row>
    <row r="274" spans="1:51">
      <c r="A274" s="43" t="s">
        <v>49</v>
      </c>
      <c r="B274" s="44">
        <v>1</v>
      </c>
      <c r="C274" s="43" t="s">
        <v>54</v>
      </c>
      <c r="D274" s="43" t="s">
        <v>1</v>
      </c>
      <c r="E274" s="43" t="s">
        <v>92</v>
      </c>
      <c r="F274" s="43">
        <v>2018</v>
      </c>
      <c r="G274" s="45">
        <v>4691</v>
      </c>
      <c r="H274" s="45">
        <v>1689</v>
      </c>
      <c r="I274" s="45">
        <v>3002</v>
      </c>
      <c r="J274" s="45">
        <v>21805</v>
      </c>
      <c r="K274" s="45">
        <v>84</v>
      </c>
      <c r="L274" s="45">
        <v>11</v>
      </c>
      <c r="M274" s="45">
        <v>21</v>
      </c>
      <c r="N274" s="45">
        <v>4334</v>
      </c>
      <c r="O274" s="45">
        <v>75808.311396180841</v>
      </c>
      <c r="P274" s="45">
        <v>2929</v>
      </c>
      <c r="Q274" s="45">
        <v>4662</v>
      </c>
      <c r="R274" s="45">
        <v>1234</v>
      </c>
      <c r="S274" s="45">
        <v>770</v>
      </c>
      <c r="T274" s="45">
        <v>4496</v>
      </c>
      <c r="U274" s="45">
        <v>1765</v>
      </c>
      <c r="V274" s="45">
        <v>1070</v>
      </c>
      <c r="W274" s="45">
        <v>1194</v>
      </c>
      <c r="X274" s="45">
        <v>1064</v>
      </c>
      <c r="Y274" s="45">
        <v>4691</v>
      </c>
      <c r="Z274" s="45">
        <v>70616739.590000004</v>
      </c>
      <c r="AA274" s="45">
        <v>280</v>
      </c>
      <c r="AB274" s="45">
        <v>429</v>
      </c>
      <c r="AC274" s="46">
        <v>3514</v>
      </c>
      <c r="AD274" s="45">
        <v>298</v>
      </c>
      <c r="AE274" s="45"/>
      <c r="AF274" s="45"/>
      <c r="AG274" s="45">
        <v>1732</v>
      </c>
      <c r="AH274" s="45">
        <v>1532</v>
      </c>
      <c r="AI274" s="45"/>
      <c r="AJ274" s="45"/>
      <c r="AK274" s="45"/>
      <c r="AL274" s="45"/>
      <c r="AM274" s="45"/>
      <c r="AN274" s="45"/>
      <c r="AO274" s="45"/>
      <c r="AP274" s="45"/>
      <c r="AQ274" s="45"/>
      <c r="AR274" s="45"/>
      <c r="AS274" s="45"/>
      <c r="AT274" s="45"/>
      <c r="AU274" s="45"/>
      <c r="AV274" s="45"/>
      <c r="AW274" s="45"/>
      <c r="AX274" s="45"/>
      <c r="AY274" s="45"/>
    </row>
    <row r="275" spans="1:51">
      <c r="A275" s="43" t="s">
        <v>49</v>
      </c>
      <c r="B275" s="44">
        <v>2</v>
      </c>
      <c r="C275" s="43" t="s">
        <v>55</v>
      </c>
      <c r="D275" s="43" t="s">
        <v>3</v>
      </c>
      <c r="E275" s="43" t="s">
        <v>92</v>
      </c>
      <c r="F275" s="43">
        <v>2018</v>
      </c>
      <c r="G275" s="45">
        <v>8462</v>
      </c>
      <c r="H275" s="45">
        <v>3296</v>
      </c>
      <c r="I275" s="45">
        <v>5166</v>
      </c>
      <c r="J275" s="45">
        <v>56479</v>
      </c>
      <c r="K275" s="45">
        <v>125</v>
      </c>
      <c r="L275" s="45">
        <v>32</v>
      </c>
      <c r="M275" s="45">
        <v>24</v>
      </c>
      <c r="N275" s="45">
        <v>6581</v>
      </c>
      <c r="O275" s="45">
        <v>186658.86964677856</v>
      </c>
      <c r="P275" s="45">
        <v>3633</v>
      </c>
      <c r="Q275" s="45">
        <v>8249</v>
      </c>
      <c r="R275" s="45">
        <v>1657</v>
      </c>
      <c r="S275" s="45">
        <v>2349</v>
      </c>
      <c r="T275" s="45">
        <v>7357</v>
      </c>
      <c r="U275" s="45">
        <v>3651</v>
      </c>
      <c r="V275" s="45">
        <v>1412</v>
      </c>
      <c r="W275" s="45">
        <v>1263</v>
      </c>
      <c r="X275" s="45">
        <v>1059</v>
      </c>
      <c r="Y275" s="45">
        <v>8462</v>
      </c>
      <c r="Z275" s="45">
        <v>138342186.01499999</v>
      </c>
      <c r="AA275" s="45">
        <v>401</v>
      </c>
      <c r="AB275" s="45">
        <v>749</v>
      </c>
      <c r="AC275" s="46">
        <v>5453</v>
      </c>
      <c r="AD275" s="45">
        <v>42</v>
      </c>
      <c r="AE275" s="45"/>
      <c r="AF275" s="45"/>
      <c r="AG275" s="45">
        <v>68</v>
      </c>
      <c r="AH275" s="45">
        <v>66</v>
      </c>
      <c r="AI275" s="45">
        <v>191</v>
      </c>
      <c r="AJ275" s="45"/>
      <c r="AK275" s="45"/>
      <c r="AL275" s="45"/>
      <c r="AM275" s="45"/>
      <c r="AN275" s="45"/>
      <c r="AO275" s="45"/>
      <c r="AP275" s="45"/>
      <c r="AQ275" s="45"/>
      <c r="AR275" s="45"/>
      <c r="AS275" s="45"/>
      <c r="AT275" s="45"/>
      <c r="AU275" s="45"/>
      <c r="AV275" s="45"/>
      <c r="AW275" s="45"/>
      <c r="AX275" s="45"/>
      <c r="AY275" s="45"/>
    </row>
    <row r="276" spans="1:51">
      <c r="A276" s="43" t="s">
        <v>49</v>
      </c>
      <c r="B276" s="44">
        <v>3</v>
      </c>
      <c r="C276" s="43" t="s">
        <v>56</v>
      </c>
      <c r="D276" s="43" t="s">
        <v>4</v>
      </c>
      <c r="E276" s="43" t="s">
        <v>92</v>
      </c>
      <c r="F276" s="43">
        <v>2018</v>
      </c>
      <c r="G276" s="45">
        <v>1697</v>
      </c>
      <c r="H276" s="45">
        <v>679</v>
      </c>
      <c r="I276" s="45">
        <v>1018</v>
      </c>
      <c r="J276" s="45">
        <v>11931</v>
      </c>
      <c r="K276" s="45">
        <v>18</v>
      </c>
      <c r="L276" s="45">
        <v>5</v>
      </c>
      <c r="M276" s="45">
        <v>1</v>
      </c>
      <c r="N276" s="45">
        <v>1302</v>
      </c>
      <c r="O276" s="45">
        <v>42737.553261914298</v>
      </c>
      <c r="P276" s="45">
        <v>998</v>
      </c>
      <c r="Q276" s="45">
        <v>1664</v>
      </c>
      <c r="R276" s="45">
        <v>407</v>
      </c>
      <c r="S276" s="45">
        <v>304</v>
      </c>
      <c r="T276" s="45">
        <v>1544</v>
      </c>
      <c r="U276" s="45">
        <v>660</v>
      </c>
      <c r="V276" s="45">
        <v>344</v>
      </c>
      <c r="W276" s="45">
        <v>352</v>
      </c>
      <c r="X276" s="45">
        <v>343</v>
      </c>
      <c r="Y276" s="45">
        <v>1697</v>
      </c>
      <c r="Z276" s="45">
        <v>34713244.295000002</v>
      </c>
      <c r="AA276" s="45">
        <v>86</v>
      </c>
      <c r="AB276" s="45">
        <v>217</v>
      </c>
      <c r="AC276" s="46">
        <v>892</v>
      </c>
      <c r="AD276" s="45">
        <v>1</v>
      </c>
      <c r="AE276" s="45"/>
      <c r="AF276" s="45"/>
      <c r="AG276" s="45">
        <v>28</v>
      </c>
      <c r="AH276" s="45">
        <v>26</v>
      </c>
      <c r="AI276" s="45"/>
      <c r="AJ276" s="45"/>
      <c r="AK276" s="45"/>
      <c r="AL276" s="45"/>
      <c r="AM276" s="45"/>
      <c r="AN276" s="45"/>
      <c r="AO276" s="45"/>
      <c r="AP276" s="45"/>
      <c r="AQ276" s="45"/>
      <c r="AR276" s="45"/>
      <c r="AS276" s="45"/>
      <c r="AT276" s="45"/>
      <c r="AU276" s="45"/>
      <c r="AV276" s="45"/>
      <c r="AW276" s="45"/>
      <c r="AX276" s="45"/>
      <c r="AY276" s="45"/>
    </row>
    <row r="277" spans="1:51">
      <c r="A277" s="43" t="s">
        <v>49</v>
      </c>
      <c r="B277" s="44">
        <v>4</v>
      </c>
      <c r="C277" s="43" t="s">
        <v>57</v>
      </c>
      <c r="D277" s="43" t="s">
        <v>5</v>
      </c>
      <c r="E277" s="43" t="s">
        <v>92</v>
      </c>
      <c r="F277" s="43">
        <v>2018</v>
      </c>
      <c r="G277" s="45">
        <v>1896</v>
      </c>
      <c r="H277" s="45">
        <v>798</v>
      </c>
      <c r="I277" s="45">
        <v>1098</v>
      </c>
      <c r="J277" s="45">
        <v>14821</v>
      </c>
      <c r="K277" s="45">
        <v>41</v>
      </c>
      <c r="L277" s="45">
        <v>9</v>
      </c>
      <c r="M277" s="45">
        <v>12</v>
      </c>
      <c r="N277" s="45">
        <v>1410</v>
      </c>
      <c r="O277" s="45">
        <v>48515.707763085884</v>
      </c>
      <c r="P277" s="45">
        <v>890</v>
      </c>
      <c r="Q277" s="45">
        <v>1809</v>
      </c>
      <c r="R277" s="45">
        <v>399</v>
      </c>
      <c r="S277" s="45">
        <v>385</v>
      </c>
      <c r="T277" s="45">
        <v>1634</v>
      </c>
      <c r="U277" s="45">
        <v>753</v>
      </c>
      <c r="V277" s="45">
        <v>347</v>
      </c>
      <c r="W277" s="45">
        <v>348</v>
      </c>
      <c r="X277" s="45">
        <v>331</v>
      </c>
      <c r="Y277" s="45">
        <v>1896</v>
      </c>
      <c r="Z277" s="45">
        <v>41514866.774999999</v>
      </c>
      <c r="AA277" s="45">
        <v>103</v>
      </c>
      <c r="AB277" s="45">
        <v>331</v>
      </c>
      <c r="AC277" s="46">
        <v>4126</v>
      </c>
      <c r="AD277" s="45">
        <v>28</v>
      </c>
      <c r="AE277" s="45"/>
      <c r="AF277" s="45"/>
      <c r="AG277" s="45">
        <v>610</v>
      </c>
      <c r="AH277" s="45">
        <v>412</v>
      </c>
      <c r="AI277" s="45"/>
      <c r="AJ277" s="45"/>
      <c r="AK277" s="45"/>
      <c r="AL277" s="45"/>
      <c r="AM277" s="45"/>
      <c r="AN277" s="45"/>
      <c r="AO277" s="45"/>
      <c r="AP277" s="45"/>
      <c r="AQ277" s="45"/>
      <c r="AR277" s="45"/>
      <c r="AS277" s="45"/>
      <c r="AT277" s="45"/>
      <c r="AU277" s="45"/>
      <c r="AV277" s="45"/>
      <c r="AW277" s="45"/>
      <c r="AX277" s="45"/>
      <c r="AY277" s="45"/>
    </row>
    <row r="278" spans="1:51">
      <c r="A278" s="43" t="s">
        <v>49</v>
      </c>
      <c r="B278" s="44">
        <v>7</v>
      </c>
      <c r="C278" s="43" t="s">
        <v>58</v>
      </c>
      <c r="D278" s="43" t="s">
        <v>6</v>
      </c>
      <c r="E278" s="43" t="s">
        <v>92</v>
      </c>
      <c r="F278" s="43">
        <v>2018</v>
      </c>
      <c r="G278" s="45">
        <v>7012</v>
      </c>
      <c r="H278" s="45">
        <v>2491</v>
      </c>
      <c r="I278" s="45">
        <v>4521</v>
      </c>
      <c r="J278" s="45">
        <v>92666</v>
      </c>
      <c r="K278" s="45">
        <v>161</v>
      </c>
      <c r="L278" s="45">
        <v>18</v>
      </c>
      <c r="M278" s="45">
        <v>49</v>
      </c>
      <c r="N278" s="45">
        <v>5908</v>
      </c>
      <c r="O278" s="45">
        <v>337660.69736999623</v>
      </c>
      <c r="P278" s="45">
        <v>3014</v>
      </c>
      <c r="Q278" s="45">
        <v>7408</v>
      </c>
      <c r="R278" s="45">
        <v>1967</v>
      </c>
      <c r="S278" s="45">
        <v>1235</v>
      </c>
      <c r="T278" s="45">
        <v>6960</v>
      </c>
      <c r="U278" s="45">
        <v>2774</v>
      </c>
      <c r="V278" s="45">
        <v>1786</v>
      </c>
      <c r="W278" s="45">
        <v>1669</v>
      </c>
      <c r="X278" s="45">
        <v>1457</v>
      </c>
      <c r="Y278" s="45">
        <v>7012</v>
      </c>
      <c r="Z278" s="45">
        <v>178638342.06</v>
      </c>
      <c r="AA278" s="45">
        <v>404</v>
      </c>
      <c r="AB278" s="45">
        <v>714</v>
      </c>
      <c r="AC278" s="46">
        <v>2459</v>
      </c>
      <c r="AD278" s="45">
        <v>59</v>
      </c>
      <c r="AE278" s="45"/>
      <c r="AF278" s="45"/>
      <c r="AG278" s="45">
        <v>104</v>
      </c>
      <c r="AH278" s="45">
        <v>92</v>
      </c>
      <c r="AI278" s="45"/>
      <c r="AJ278" s="45"/>
      <c r="AK278" s="45"/>
      <c r="AL278" s="45"/>
      <c r="AM278" s="45"/>
      <c r="AN278" s="45"/>
      <c r="AO278" s="45"/>
      <c r="AP278" s="45"/>
      <c r="AQ278" s="45"/>
      <c r="AR278" s="45"/>
      <c r="AS278" s="45"/>
      <c r="AT278" s="45"/>
      <c r="AU278" s="45"/>
      <c r="AV278" s="45"/>
      <c r="AW278" s="45"/>
      <c r="AX278" s="45"/>
      <c r="AY278" s="45"/>
    </row>
    <row r="279" spans="1:51">
      <c r="A279" s="43" t="s">
        <v>49</v>
      </c>
      <c r="B279" s="44">
        <v>8</v>
      </c>
      <c r="C279" s="43" t="s">
        <v>59</v>
      </c>
      <c r="D279" s="43" t="s">
        <v>7</v>
      </c>
      <c r="E279" s="43" t="s">
        <v>92</v>
      </c>
      <c r="F279" s="43">
        <v>2018</v>
      </c>
      <c r="G279" s="45">
        <v>8573</v>
      </c>
      <c r="H279" s="45">
        <v>3347</v>
      </c>
      <c r="I279" s="45">
        <v>5226</v>
      </c>
      <c r="J279" s="45">
        <v>55045</v>
      </c>
      <c r="K279" s="45">
        <v>153</v>
      </c>
      <c r="L279" s="45">
        <v>47</v>
      </c>
      <c r="M279" s="45">
        <v>29</v>
      </c>
      <c r="N279" s="45">
        <v>7550</v>
      </c>
      <c r="O279" s="45">
        <v>203462.17822436258</v>
      </c>
      <c r="P279" s="45">
        <v>4072</v>
      </c>
      <c r="Q279" s="45">
        <v>9203</v>
      </c>
      <c r="R279" s="45">
        <v>2135</v>
      </c>
      <c r="S279" s="45">
        <v>1907</v>
      </c>
      <c r="T279" s="45">
        <v>8048</v>
      </c>
      <c r="U279" s="45">
        <v>4125</v>
      </c>
      <c r="V279" s="45">
        <v>1917</v>
      </c>
      <c r="W279" s="45">
        <v>1759</v>
      </c>
      <c r="X279" s="45">
        <v>1559</v>
      </c>
      <c r="Y279" s="45">
        <v>8573</v>
      </c>
      <c r="Z279" s="45">
        <v>170095384.97</v>
      </c>
      <c r="AA279" s="45">
        <v>579</v>
      </c>
      <c r="AB279" s="45">
        <v>983</v>
      </c>
      <c r="AC279" s="46">
        <v>7969</v>
      </c>
      <c r="AD279" s="45">
        <v>433</v>
      </c>
      <c r="AE279" s="45"/>
      <c r="AF279" s="45"/>
      <c r="AG279" s="45">
        <v>767</v>
      </c>
      <c r="AH279" s="45">
        <v>752</v>
      </c>
      <c r="AI279" s="45">
        <v>898</v>
      </c>
      <c r="AJ279" s="45"/>
      <c r="AK279" s="45"/>
      <c r="AL279" s="45"/>
      <c r="AM279" s="45"/>
      <c r="AN279" s="45"/>
      <c r="AO279" s="45"/>
      <c r="AP279" s="45"/>
      <c r="AQ279" s="45"/>
      <c r="AR279" s="45"/>
      <c r="AS279" s="45"/>
      <c r="AT279" s="45"/>
      <c r="AU279" s="45"/>
      <c r="AV279" s="45"/>
      <c r="AW279" s="45"/>
      <c r="AX279" s="45"/>
      <c r="AY279" s="45"/>
    </row>
    <row r="280" spans="1:51">
      <c r="A280" s="43" t="s">
        <v>50</v>
      </c>
      <c r="B280" s="44">
        <v>9</v>
      </c>
      <c r="C280" s="43" t="s">
        <v>84</v>
      </c>
      <c r="D280" s="43" t="s">
        <v>32</v>
      </c>
      <c r="E280" s="43" t="s">
        <v>92</v>
      </c>
      <c r="F280" s="43">
        <v>2018</v>
      </c>
      <c r="G280" s="45">
        <v>44161</v>
      </c>
      <c r="H280" s="45">
        <v>18512</v>
      </c>
      <c r="I280" s="45">
        <v>25649</v>
      </c>
      <c r="J280" s="45">
        <v>143823</v>
      </c>
      <c r="K280" s="45">
        <v>582</v>
      </c>
      <c r="L280" s="45">
        <v>136</v>
      </c>
      <c r="M280" s="45">
        <v>134</v>
      </c>
      <c r="N280" s="45">
        <v>35063</v>
      </c>
      <c r="O280" s="45">
        <v>389384.78122435423</v>
      </c>
      <c r="P280" s="45">
        <v>24850</v>
      </c>
      <c r="Q280" s="45">
        <v>44212</v>
      </c>
      <c r="R280" s="45">
        <v>9312</v>
      </c>
      <c r="S280" s="45">
        <v>12730</v>
      </c>
      <c r="T280" s="45">
        <v>38202</v>
      </c>
      <c r="U280" s="45">
        <v>19962</v>
      </c>
      <c r="V280" s="45">
        <v>7909</v>
      </c>
      <c r="W280" s="45">
        <v>7196</v>
      </c>
      <c r="X280" s="45">
        <v>4704</v>
      </c>
      <c r="Y280" s="45">
        <v>44161</v>
      </c>
      <c r="Z280" s="45">
        <v>694705445.45000005</v>
      </c>
      <c r="AA280" s="45">
        <v>2173</v>
      </c>
      <c r="AB280" s="45">
        <v>3705</v>
      </c>
      <c r="AC280" s="46">
        <v>8387</v>
      </c>
      <c r="AD280" s="45">
        <v>998</v>
      </c>
      <c r="AE280" s="45"/>
      <c r="AF280" s="45"/>
      <c r="AG280" s="45">
        <v>1998</v>
      </c>
      <c r="AH280" s="45">
        <v>1708</v>
      </c>
      <c r="AI280" s="45"/>
      <c r="AJ280" s="45"/>
      <c r="AK280" s="45"/>
      <c r="AL280" s="45"/>
      <c r="AM280" s="45"/>
      <c r="AN280" s="45"/>
      <c r="AO280" s="45"/>
      <c r="AP280" s="45"/>
      <c r="AQ280" s="45"/>
      <c r="AR280" s="45"/>
      <c r="AS280" s="45"/>
      <c r="AT280" s="45"/>
      <c r="AU280" s="45"/>
      <c r="AV280" s="45"/>
      <c r="AW280" s="45"/>
      <c r="AX280" s="45"/>
      <c r="AY280" s="45"/>
    </row>
    <row r="281" spans="1:51">
      <c r="A281" s="43" t="s">
        <v>49</v>
      </c>
      <c r="B281" s="44">
        <v>5</v>
      </c>
      <c r="C281" s="43" t="s">
        <v>60</v>
      </c>
      <c r="D281" s="43" t="s">
        <v>31</v>
      </c>
      <c r="E281" s="43" t="s">
        <v>92</v>
      </c>
      <c r="F281" s="43">
        <v>2018</v>
      </c>
      <c r="G281" s="45">
        <v>10398</v>
      </c>
      <c r="H281" s="45">
        <v>3963</v>
      </c>
      <c r="I281" s="45">
        <v>6435</v>
      </c>
      <c r="J281" s="45">
        <v>59454</v>
      </c>
      <c r="K281" s="45">
        <v>134</v>
      </c>
      <c r="L281" s="45">
        <v>45</v>
      </c>
      <c r="M281" s="45">
        <v>37</v>
      </c>
      <c r="N281" s="45">
        <v>9011</v>
      </c>
      <c r="O281" s="45">
        <v>163335.43795797112</v>
      </c>
      <c r="P281" s="45">
        <v>5009</v>
      </c>
      <c r="Q281" s="45">
        <v>10066</v>
      </c>
      <c r="R281" s="45">
        <v>2703</v>
      </c>
      <c r="S281" s="45">
        <v>776</v>
      </c>
      <c r="T281" s="45">
        <v>9579</v>
      </c>
      <c r="U281" s="45">
        <v>4120</v>
      </c>
      <c r="V281" s="45">
        <v>2500</v>
      </c>
      <c r="W281" s="45">
        <v>2042</v>
      </c>
      <c r="X281" s="45">
        <v>2036</v>
      </c>
      <c r="Y281" s="45">
        <v>10398</v>
      </c>
      <c r="Z281" s="45">
        <v>150515608.10499999</v>
      </c>
      <c r="AA281" s="45">
        <v>419</v>
      </c>
      <c r="AB281" s="45">
        <v>1141</v>
      </c>
      <c r="AC281" s="46">
        <v>3892</v>
      </c>
      <c r="AD281" s="45">
        <v>34</v>
      </c>
      <c r="AE281" s="45"/>
      <c r="AF281" s="45"/>
      <c r="AG281" s="45">
        <v>357</v>
      </c>
      <c r="AH281" s="45">
        <v>335</v>
      </c>
      <c r="AI281" s="45"/>
      <c r="AJ281" s="45"/>
      <c r="AK281" s="45"/>
      <c r="AL281" s="45"/>
      <c r="AM281" s="45"/>
      <c r="AN281" s="45"/>
      <c r="AO281" s="45"/>
      <c r="AP281" s="45"/>
      <c r="AQ281" s="45"/>
      <c r="AR281" s="45"/>
      <c r="AS281" s="45"/>
      <c r="AT281" s="45"/>
      <c r="AU281" s="45"/>
      <c r="AV281" s="45"/>
      <c r="AW281" s="45"/>
      <c r="AX281" s="45"/>
      <c r="AY281" s="45"/>
    </row>
    <row r="282" spans="1:51">
      <c r="A282" s="43" t="s">
        <v>49</v>
      </c>
      <c r="B282" s="44">
        <v>6</v>
      </c>
      <c r="C282" s="43" t="s">
        <v>61</v>
      </c>
      <c r="D282" s="43" t="s">
        <v>8</v>
      </c>
      <c r="E282" s="43" t="s">
        <v>92</v>
      </c>
      <c r="F282" s="43">
        <v>2018</v>
      </c>
      <c r="G282" s="45">
        <v>1891</v>
      </c>
      <c r="H282" s="45">
        <v>763</v>
      </c>
      <c r="I282" s="45">
        <v>1128</v>
      </c>
      <c r="J282" s="45">
        <v>10048</v>
      </c>
      <c r="K282" s="45">
        <v>47</v>
      </c>
      <c r="L282" s="45">
        <v>6</v>
      </c>
      <c r="M282" s="45">
        <v>11</v>
      </c>
      <c r="N282" s="45">
        <v>1231</v>
      </c>
      <c r="O282" s="45">
        <v>38472.361797444217</v>
      </c>
      <c r="P282" s="45">
        <v>872</v>
      </c>
      <c r="Q282" s="45">
        <v>1866</v>
      </c>
      <c r="R282" s="45">
        <v>425</v>
      </c>
      <c r="S282" s="45">
        <v>468</v>
      </c>
      <c r="T282" s="45">
        <v>1652</v>
      </c>
      <c r="U282" s="45">
        <v>883</v>
      </c>
      <c r="V282" s="45">
        <v>343</v>
      </c>
      <c r="W282" s="45">
        <v>305</v>
      </c>
      <c r="X282" s="45">
        <v>273</v>
      </c>
      <c r="Y282" s="45">
        <v>1891</v>
      </c>
      <c r="Z282" s="45">
        <v>41980594.155000001</v>
      </c>
      <c r="AA282" s="45">
        <v>124</v>
      </c>
      <c r="AB282" s="45">
        <v>320</v>
      </c>
      <c r="AC282" s="46">
        <v>1128</v>
      </c>
      <c r="AD282" s="45">
        <v>34</v>
      </c>
      <c r="AE282" s="45"/>
      <c r="AF282" s="45"/>
      <c r="AG282" s="45">
        <v>217</v>
      </c>
      <c r="AH282" s="45">
        <v>215</v>
      </c>
      <c r="AI282" s="45"/>
      <c r="AJ282" s="45"/>
      <c r="AK282" s="45"/>
      <c r="AL282" s="45"/>
      <c r="AM282" s="45"/>
      <c r="AN282" s="45"/>
      <c r="AO282" s="45"/>
      <c r="AP282" s="45"/>
      <c r="AQ282" s="45"/>
      <c r="AR282" s="45"/>
      <c r="AS282" s="45"/>
      <c r="AT282" s="45"/>
      <c r="AU282" s="45"/>
      <c r="AV282" s="45"/>
      <c r="AW282" s="45"/>
      <c r="AX282" s="45"/>
      <c r="AY282" s="45"/>
    </row>
    <row r="283" spans="1:51">
      <c r="A283" s="43" t="s">
        <v>49</v>
      </c>
      <c r="B283" s="44">
        <v>10</v>
      </c>
      <c r="C283" s="43" t="s">
        <v>62</v>
      </c>
      <c r="D283" s="43" t="s">
        <v>9</v>
      </c>
      <c r="E283" s="43" t="s">
        <v>92</v>
      </c>
      <c r="F283" s="43">
        <v>2018</v>
      </c>
      <c r="G283" s="45">
        <v>1930</v>
      </c>
      <c r="H283" s="45">
        <v>744</v>
      </c>
      <c r="I283" s="45">
        <v>1186</v>
      </c>
      <c r="J283" s="45">
        <v>32285</v>
      </c>
      <c r="K283" s="45">
        <v>51</v>
      </c>
      <c r="L283" s="45">
        <v>19</v>
      </c>
      <c r="M283" s="45">
        <v>10</v>
      </c>
      <c r="N283" s="45">
        <v>1565</v>
      </c>
      <c r="O283" s="45">
        <v>101820.24451699779</v>
      </c>
      <c r="P283" s="45">
        <v>835</v>
      </c>
      <c r="Q283" s="45">
        <v>2067</v>
      </c>
      <c r="R283" s="45">
        <v>408</v>
      </c>
      <c r="S283" s="45">
        <v>508</v>
      </c>
      <c r="T283" s="45">
        <v>1751</v>
      </c>
      <c r="U283" s="45">
        <v>936</v>
      </c>
      <c r="V283" s="45">
        <v>360</v>
      </c>
      <c r="W283" s="45">
        <v>398</v>
      </c>
      <c r="X283" s="45">
        <v>283</v>
      </c>
      <c r="Y283" s="45">
        <v>1930</v>
      </c>
      <c r="Z283" s="45">
        <v>41121216.439999998</v>
      </c>
      <c r="AA283" s="45">
        <v>156</v>
      </c>
      <c r="AB283" s="45">
        <v>260</v>
      </c>
      <c r="AC283" s="46">
        <v>3123</v>
      </c>
      <c r="AD283" s="45">
        <v>57</v>
      </c>
      <c r="AE283" s="45"/>
      <c r="AF283" s="45"/>
      <c r="AG283" s="45">
        <v>275</v>
      </c>
      <c r="AH283" s="45">
        <v>223</v>
      </c>
      <c r="AI283" s="45"/>
      <c r="AJ283" s="45"/>
      <c r="AK283" s="45"/>
      <c r="AL283" s="45"/>
      <c r="AM283" s="45"/>
      <c r="AN283" s="45"/>
      <c r="AO283" s="45"/>
      <c r="AP283" s="45"/>
      <c r="AQ283" s="45"/>
      <c r="AR283" s="45"/>
      <c r="AS283" s="45"/>
      <c r="AT283" s="45"/>
      <c r="AU283" s="45"/>
      <c r="AV283" s="45"/>
      <c r="AW283" s="45"/>
      <c r="AX283" s="45"/>
      <c r="AY283" s="45"/>
    </row>
    <row r="284" spans="1:51">
      <c r="A284" s="43" t="s">
        <v>49</v>
      </c>
      <c r="B284" s="44">
        <v>11</v>
      </c>
      <c r="C284" s="43" t="s">
        <v>63</v>
      </c>
      <c r="D284" s="43" t="s">
        <v>10</v>
      </c>
      <c r="E284" s="43" t="s">
        <v>92</v>
      </c>
      <c r="F284" s="43">
        <v>2018</v>
      </c>
      <c r="G284" s="45">
        <v>18132</v>
      </c>
      <c r="H284" s="45">
        <v>6642</v>
      </c>
      <c r="I284" s="45">
        <v>11490</v>
      </c>
      <c r="J284" s="45">
        <v>120395</v>
      </c>
      <c r="K284" s="45">
        <v>293</v>
      </c>
      <c r="L284" s="45">
        <v>94</v>
      </c>
      <c r="M284" s="45">
        <v>82</v>
      </c>
      <c r="N284" s="45">
        <v>15005</v>
      </c>
      <c r="O284" s="45">
        <v>336593.79068756441</v>
      </c>
      <c r="P284" s="45">
        <v>8813</v>
      </c>
      <c r="Q284" s="45">
        <v>18067</v>
      </c>
      <c r="R284" s="45">
        <v>4452</v>
      </c>
      <c r="S284" s="45">
        <v>3578</v>
      </c>
      <c r="T284" s="45">
        <v>17114</v>
      </c>
      <c r="U284" s="45">
        <v>6444</v>
      </c>
      <c r="V284" s="45">
        <v>4130</v>
      </c>
      <c r="W284" s="45">
        <v>4047</v>
      </c>
      <c r="X284" s="45">
        <v>3859</v>
      </c>
      <c r="Y284" s="45">
        <v>18132</v>
      </c>
      <c r="Z284" s="45">
        <v>262369796.815</v>
      </c>
      <c r="AA284" s="45">
        <v>863</v>
      </c>
      <c r="AB284" s="45">
        <v>2187</v>
      </c>
      <c r="AC284" s="46">
        <v>8126</v>
      </c>
      <c r="AD284" s="45">
        <v>516</v>
      </c>
      <c r="AE284" s="45"/>
      <c r="AF284" s="45"/>
      <c r="AG284" s="45">
        <v>8414</v>
      </c>
      <c r="AH284" s="45">
        <v>6410</v>
      </c>
      <c r="AI284" s="45">
        <v>16429</v>
      </c>
      <c r="AJ284" s="45"/>
      <c r="AK284" s="45"/>
      <c r="AL284" s="45"/>
      <c r="AM284" s="45"/>
      <c r="AN284" s="45"/>
      <c r="AO284" s="45"/>
      <c r="AP284" s="45"/>
      <c r="AQ284" s="45"/>
      <c r="AR284" s="45"/>
      <c r="AS284" s="45"/>
      <c r="AT284" s="45"/>
      <c r="AU284" s="45"/>
      <c r="AV284" s="45"/>
      <c r="AW284" s="45"/>
      <c r="AX284" s="45"/>
      <c r="AY284" s="45"/>
    </row>
    <row r="285" spans="1:51">
      <c r="A285" s="43" t="s">
        <v>49</v>
      </c>
      <c r="B285" s="44">
        <v>12</v>
      </c>
      <c r="C285" s="43" t="s">
        <v>64</v>
      </c>
      <c r="D285" s="43" t="s">
        <v>11</v>
      </c>
      <c r="E285" s="43" t="s">
        <v>92</v>
      </c>
      <c r="F285" s="43">
        <v>2018</v>
      </c>
      <c r="G285" s="45">
        <v>6134</v>
      </c>
      <c r="H285" s="45">
        <v>2388</v>
      </c>
      <c r="I285" s="45">
        <v>3746</v>
      </c>
      <c r="J285" s="45">
        <v>65658</v>
      </c>
      <c r="K285" s="45">
        <v>129</v>
      </c>
      <c r="L285" s="45">
        <v>22</v>
      </c>
      <c r="M285" s="45">
        <v>43</v>
      </c>
      <c r="N285" s="45">
        <v>4957</v>
      </c>
      <c r="O285" s="45">
        <v>219410.76827348556</v>
      </c>
      <c r="P285" s="45">
        <v>3143</v>
      </c>
      <c r="Q285" s="45">
        <v>6152</v>
      </c>
      <c r="R285" s="45">
        <v>1536</v>
      </c>
      <c r="S285" s="45">
        <v>1461</v>
      </c>
      <c r="T285" s="45">
        <v>5674</v>
      </c>
      <c r="U285" s="45">
        <v>2626</v>
      </c>
      <c r="V285" s="45">
        <v>1375</v>
      </c>
      <c r="W285" s="45">
        <v>1362</v>
      </c>
      <c r="X285" s="45">
        <v>875</v>
      </c>
      <c r="Y285" s="45">
        <v>6134</v>
      </c>
      <c r="Z285" s="45">
        <v>144889688</v>
      </c>
      <c r="AA285" s="45">
        <v>297</v>
      </c>
      <c r="AB285" s="45">
        <v>719</v>
      </c>
      <c r="AC285" s="46">
        <v>7440</v>
      </c>
      <c r="AD285" s="45">
        <v>1041</v>
      </c>
      <c r="AE285" s="45"/>
      <c r="AF285" s="45"/>
      <c r="AG285" s="45">
        <v>1289</v>
      </c>
      <c r="AH285" s="45">
        <v>852</v>
      </c>
      <c r="AI285" s="45"/>
      <c r="AJ285" s="45"/>
      <c r="AK285" s="45"/>
      <c r="AL285" s="45"/>
      <c r="AM285" s="45"/>
      <c r="AN285" s="45"/>
      <c r="AO285" s="45"/>
      <c r="AP285" s="45"/>
      <c r="AQ285" s="45"/>
      <c r="AR285" s="45"/>
      <c r="AS285" s="45"/>
      <c r="AT285" s="45"/>
      <c r="AU285" s="45"/>
      <c r="AV285" s="45"/>
      <c r="AW285" s="45"/>
      <c r="AX285" s="45"/>
      <c r="AY285" s="45"/>
    </row>
    <row r="286" spans="1:51">
      <c r="A286" s="43" t="s">
        <v>49</v>
      </c>
      <c r="B286" s="44">
        <v>13</v>
      </c>
      <c r="C286" s="43" t="s">
        <v>65</v>
      </c>
      <c r="D286" s="43" t="s">
        <v>12</v>
      </c>
      <c r="E286" s="43" t="s">
        <v>92</v>
      </c>
      <c r="F286" s="43">
        <v>2018</v>
      </c>
      <c r="G286" s="45">
        <v>3519</v>
      </c>
      <c r="H286" s="45">
        <v>1421</v>
      </c>
      <c r="I286" s="45">
        <v>2098</v>
      </c>
      <c r="J286" s="45">
        <v>53733</v>
      </c>
      <c r="K286" s="45">
        <v>69</v>
      </c>
      <c r="L286" s="45">
        <v>38</v>
      </c>
      <c r="M286" s="45">
        <v>17</v>
      </c>
      <c r="N286" s="45">
        <v>3102</v>
      </c>
      <c r="O286" s="45">
        <v>161832.19050681879</v>
      </c>
      <c r="P286" s="45">
        <v>1648</v>
      </c>
      <c r="Q286" s="45">
        <v>3648</v>
      </c>
      <c r="R286" s="45">
        <v>934</v>
      </c>
      <c r="S286" s="45">
        <v>597</v>
      </c>
      <c r="T286" s="45">
        <v>3341</v>
      </c>
      <c r="U286" s="45">
        <v>1678</v>
      </c>
      <c r="V286" s="45">
        <v>835</v>
      </c>
      <c r="W286" s="45">
        <v>693</v>
      </c>
      <c r="X286" s="45">
        <v>687</v>
      </c>
      <c r="Y286" s="45">
        <v>3519</v>
      </c>
      <c r="Z286" s="45">
        <v>64281548.229999997</v>
      </c>
      <c r="AA286" s="45">
        <v>205</v>
      </c>
      <c r="AB286" s="45">
        <v>428</v>
      </c>
      <c r="AC286" s="46">
        <v>1323</v>
      </c>
      <c r="AD286" s="45">
        <v>501</v>
      </c>
      <c r="AE286" s="45"/>
      <c r="AF286" s="45"/>
      <c r="AG286" s="45">
        <v>126</v>
      </c>
      <c r="AH286" s="45">
        <v>105</v>
      </c>
      <c r="AI286" s="45"/>
      <c r="AJ286" s="45"/>
      <c r="AK286" s="45"/>
      <c r="AL286" s="45"/>
      <c r="AM286" s="45"/>
      <c r="AN286" s="45"/>
      <c r="AO286" s="45"/>
      <c r="AP286" s="45"/>
      <c r="AQ286" s="45"/>
      <c r="AR286" s="45"/>
      <c r="AS286" s="45"/>
      <c r="AT286" s="45"/>
      <c r="AU286" s="45"/>
      <c r="AV286" s="45"/>
      <c r="AW286" s="45"/>
      <c r="AX286" s="45"/>
      <c r="AY286" s="45"/>
    </row>
    <row r="287" spans="1:51">
      <c r="A287" s="43" t="s">
        <v>49</v>
      </c>
      <c r="B287" s="44">
        <v>14</v>
      </c>
      <c r="C287" s="43" t="s">
        <v>66</v>
      </c>
      <c r="D287" s="43" t="s">
        <v>13</v>
      </c>
      <c r="E287" s="43" t="s">
        <v>92</v>
      </c>
      <c r="F287" s="43">
        <v>2018</v>
      </c>
      <c r="G287" s="45">
        <v>14341</v>
      </c>
      <c r="H287" s="45">
        <v>5515</v>
      </c>
      <c r="I287" s="45">
        <v>8826</v>
      </c>
      <c r="J287" s="45">
        <v>134896</v>
      </c>
      <c r="K287" s="45">
        <v>272</v>
      </c>
      <c r="L287" s="45">
        <v>36</v>
      </c>
      <c r="M287" s="45">
        <v>67</v>
      </c>
      <c r="N287" s="45">
        <v>11644</v>
      </c>
      <c r="O287" s="45">
        <v>433925.91746385908</v>
      </c>
      <c r="P287" s="45">
        <v>5788</v>
      </c>
      <c r="Q287" s="45">
        <v>14856</v>
      </c>
      <c r="R287" s="45">
        <v>3444</v>
      </c>
      <c r="S287" s="45">
        <v>2927</v>
      </c>
      <c r="T287" s="45">
        <v>13563</v>
      </c>
      <c r="U287" s="45">
        <v>5953</v>
      </c>
      <c r="V287" s="45">
        <v>3056</v>
      </c>
      <c r="W287" s="45">
        <v>2823</v>
      </c>
      <c r="X287" s="45">
        <v>2409</v>
      </c>
      <c r="Y287" s="45">
        <v>14341</v>
      </c>
      <c r="Z287" s="45">
        <v>265319155.36000001</v>
      </c>
      <c r="AA287" s="45">
        <v>818</v>
      </c>
      <c r="AB287" s="45">
        <v>2084</v>
      </c>
      <c r="AC287" s="46">
        <v>12472</v>
      </c>
      <c r="AD287" s="45">
        <v>793</v>
      </c>
      <c r="AE287" s="45"/>
      <c r="AF287" s="45"/>
      <c r="AG287" s="45">
        <v>236</v>
      </c>
      <c r="AH287" s="45">
        <v>158</v>
      </c>
      <c r="AI287" s="45">
        <v>602</v>
      </c>
      <c r="AJ287" s="45"/>
      <c r="AK287" s="45"/>
      <c r="AL287" s="45"/>
      <c r="AM287" s="45"/>
      <c r="AN287" s="45"/>
      <c r="AO287" s="45"/>
      <c r="AP287" s="45"/>
      <c r="AQ287" s="45"/>
      <c r="AR287" s="45"/>
      <c r="AS287" s="45"/>
      <c r="AT287" s="45"/>
      <c r="AU287" s="45"/>
      <c r="AV287" s="45"/>
      <c r="AW287" s="45"/>
      <c r="AX287" s="45"/>
      <c r="AY287" s="45"/>
    </row>
    <row r="288" spans="1:51">
      <c r="A288" s="43" t="s">
        <v>49</v>
      </c>
      <c r="B288" s="44">
        <v>15</v>
      </c>
      <c r="C288" s="43" t="s">
        <v>67</v>
      </c>
      <c r="D288" s="43" t="s">
        <v>14</v>
      </c>
      <c r="E288" s="43" t="s">
        <v>92</v>
      </c>
      <c r="F288" s="43">
        <v>2018</v>
      </c>
      <c r="G288" s="45">
        <v>47926</v>
      </c>
      <c r="H288" s="45">
        <v>18922</v>
      </c>
      <c r="I288" s="45">
        <v>29004</v>
      </c>
      <c r="J288" s="45">
        <v>276938</v>
      </c>
      <c r="K288" s="45">
        <v>799</v>
      </c>
      <c r="L288" s="45">
        <v>182</v>
      </c>
      <c r="M288" s="45">
        <v>205</v>
      </c>
      <c r="N288" s="45">
        <v>41514</v>
      </c>
      <c r="O288" s="45">
        <v>915661.71066119196</v>
      </c>
      <c r="P288" s="45">
        <v>23969</v>
      </c>
      <c r="Q288" s="45">
        <v>48591</v>
      </c>
      <c r="R288" s="45">
        <v>11056</v>
      </c>
      <c r="S288" s="45">
        <v>8557</v>
      </c>
      <c r="T288" s="45">
        <v>44232</v>
      </c>
      <c r="U288" s="45">
        <v>20621</v>
      </c>
      <c r="V288" s="45">
        <v>9450</v>
      </c>
      <c r="W288" s="45">
        <v>8478</v>
      </c>
      <c r="X288" s="45">
        <v>6665</v>
      </c>
      <c r="Y288" s="45">
        <v>47926</v>
      </c>
      <c r="Z288" s="45">
        <v>760825417.91999996</v>
      </c>
      <c r="AA288" s="45">
        <v>2280</v>
      </c>
      <c r="AB288" s="45">
        <v>4445</v>
      </c>
      <c r="AC288" s="46">
        <v>11415</v>
      </c>
      <c r="AD288" s="45">
        <v>1216</v>
      </c>
      <c r="AE288" s="45"/>
      <c r="AF288" s="45"/>
      <c r="AG288" s="45">
        <v>78681</v>
      </c>
      <c r="AH288" s="45">
        <v>67149</v>
      </c>
      <c r="AI288" s="45">
        <v>816</v>
      </c>
      <c r="AJ288" s="45"/>
      <c r="AK288" s="45"/>
      <c r="AL288" s="45"/>
      <c r="AM288" s="45"/>
      <c r="AN288" s="45"/>
      <c r="AO288" s="45"/>
      <c r="AP288" s="45"/>
      <c r="AQ288" s="45"/>
      <c r="AR288" s="45"/>
      <c r="AS288" s="45"/>
      <c r="AT288" s="45"/>
      <c r="AU288" s="45"/>
      <c r="AV288" s="45"/>
      <c r="AW288" s="45"/>
      <c r="AX288" s="45"/>
      <c r="AY288" s="45"/>
    </row>
    <row r="289" spans="1:51">
      <c r="A289" s="43" t="s">
        <v>49</v>
      </c>
      <c r="B289" s="44">
        <v>16</v>
      </c>
      <c r="C289" s="43" t="s">
        <v>68</v>
      </c>
      <c r="D289" s="43" t="s">
        <v>30</v>
      </c>
      <c r="E289" s="43" t="s">
        <v>92</v>
      </c>
      <c r="F289" s="43">
        <v>2018</v>
      </c>
      <c r="G289" s="45">
        <v>11087</v>
      </c>
      <c r="H289" s="45">
        <v>4376</v>
      </c>
      <c r="I289" s="45">
        <v>6711</v>
      </c>
      <c r="J289" s="45">
        <v>64370</v>
      </c>
      <c r="K289" s="45">
        <v>221</v>
      </c>
      <c r="L289" s="45">
        <v>28</v>
      </c>
      <c r="M289" s="45">
        <v>52</v>
      </c>
      <c r="N289" s="45">
        <v>9457</v>
      </c>
      <c r="O289" s="45">
        <v>255970.68001497566</v>
      </c>
      <c r="P289" s="45">
        <v>5108</v>
      </c>
      <c r="Q289" s="45">
        <v>11181</v>
      </c>
      <c r="R289" s="45">
        <v>2701</v>
      </c>
      <c r="S289" s="45">
        <v>1051</v>
      </c>
      <c r="T289" s="45">
        <v>10126</v>
      </c>
      <c r="U289" s="45">
        <v>4395</v>
      </c>
      <c r="V289" s="45">
        <v>2319</v>
      </c>
      <c r="W289" s="45">
        <v>2425</v>
      </c>
      <c r="X289" s="45">
        <v>2101</v>
      </c>
      <c r="Y289" s="45">
        <v>11087</v>
      </c>
      <c r="Z289" s="45">
        <v>207638682.71000001</v>
      </c>
      <c r="AA289" s="45">
        <v>440</v>
      </c>
      <c r="AB289" s="45">
        <v>1204</v>
      </c>
      <c r="AC289" s="46">
        <v>2699</v>
      </c>
      <c r="AD289" s="45">
        <v>428</v>
      </c>
      <c r="AE289" s="45"/>
      <c r="AF289" s="45"/>
      <c r="AG289" s="45">
        <v>11720</v>
      </c>
      <c r="AH289" s="45">
        <v>7206</v>
      </c>
      <c r="AI289" s="45"/>
      <c r="AJ289" s="45"/>
      <c r="AK289" s="45"/>
      <c r="AL289" s="45"/>
      <c r="AM289" s="45"/>
      <c r="AN289" s="45"/>
      <c r="AO289" s="45"/>
      <c r="AP289" s="45"/>
      <c r="AQ289" s="45"/>
      <c r="AR289" s="45"/>
      <c r="AS289" s="45"/>
      <c r="AT289" s="45"/>
      <c r="AU289" s="45"/>
      <c r="AV289" s="45"/>
      <c r="AW289" s="45"/>
      <c r="AX289" s="45"/>
      <c r="AY289" s="45"/>
    </row>
    <row r="290" spans="1:51">
      <c r="A290" s="43" t="s">
        <v>49</v>
      </c>
      <c r="B290" s="44">
        <v>17</v>
      </c>
      <c r="C290" s="43" t="s">
        <v>69</v>
      </c>
      <c r="D290" s="43" t="s">
        <v>15</v>
      </c>
      <c r="E290" s="43" t="s">
        <v>92</v>
      </c>
      <c r="F290" s="43">
        <v>2018</v>
      </c>
      <c r="G290" s="45">
        <v>4640</v>
      </c>
      <c r="H290" s="45">
        <v>1846</v>
      </c>
      <c r="I290" s="45">
        <v>2794</v>
      </c>
      <c r="J290" s="45">
        <v>31140</v>
      </c>
      <c r="K290" s="45">
        <v>74</v>
      </c>
      <c r="L290" s="45">
        <v>15</v>
      </c>
      <c r="M290" s="45">
        <v>13</v>
      </c>
      <c r="N290" s="45">
        <v>3870</v>
      </c>
      <c r="O290" s="45">
        <v>101124.76256756038</v>
      </c>
      <c r="P290" s="45">
        <v>2179</v>
      </c>
      <c r="Q290" s="45">
        <v>4697</v>
      </c>
      <c r="R290" s="45">
        <v>1134</v>
      </c>
      <c r="S290" s="45">
        <v>956</v>
      </c>
      <c r="T290" s="45">
        <v>4189</v>
      </c>
      <c r="U290" s="45">
        <v>1929</v>
      </c>
      <c r="V290" s="45">
        <v>1036</v>
      </c>
      <c r="W290" s="45">
        <v>1076</v>
      </c>
      <c r="X290" s="45">
        <v>978</v>
      </c>
      <c r="Y290" s="45">
        <v>4640</v>
      </c>
      <c r="Z290" s="45">
        <v>70347282.655000001</v>
      </c>
      <c r="AA290" s="45">
        <v>238</v>
      </c>
      <c r="AB290" s="45">
        <v>532</v>
      </c>
      <c r="AC290" s="46">
        <v>2994</v>
      </c>
      <c r="AD290" s="45">
        <v>612</v>
      </c>
      <c r="AE290" s="45"/>
      <c r="AF290" s="45"/>
      <c r="AG290" s="45">
        <v>1887</v>
      </c>
      <c r="AH290" s="45">
        <v>1873</v>
      </c>
      <c r="AI290" s="45"/>
      <c r="AJ290" s="45"/>
      <c r="AK290" s="45"/>
      <c r="AL290" s="45"/>
      <c r="AM290" s="45"/>
      <c r="AN290" s="45"/>
      <c r="AO290" s="45"/>
      <c r="AP290" s="45"/>
      <c r="AQ290" s="45"/>
      <c r="AR290" s="45"/>
      <c r="AS290" s="45"/>
      <c r="AT290" s="45"/>
      <c r="AU290" s="45"/>
      <c r="AV290" s="45"/>
      <c r="AW290" s="45"/>
      <c r="AX290" s="45"/>
      <c r="AY290" s="45"/>
    </row>
    <row r="291" spans="1:51">
      <c r="A291" s="43" t="s">
        <v>49</v>
      </c>
      <c r="B291" s="44">
        <v>18</v>
      </c>
      <c r="C291" s="43" t="s">
        <v>70</v>
      </c>
      <c r="D291" s="43" t="s">
        <v>16</v>
      </c>
      <c r="E291" s="43" t="s">
        <v>92</v>
      </c>
      <c r="F291" s="43">
        <v>2018</v>
      </c>
      <c r="G291" s="45">
        <v>2794</v>
      </c>
      <c r="H291" s="45">
        <v>1114</v>
      </c>
      <c r="I291" s="45">
        <v>1680</v>
      </c>
      <c r="J291" s="45">
        <v>18794</v>
      </c>
      <c r="K291" s="45">
        <v>59</v>
      </c>
      <c r="L291" s="45">
        <v>10</v>
      </c>
      <c r="M291" s="45">
        <v>14</v>
      </c>
      <c r="N291" s="45">
        <v>2431</v>
      </c>
      <c r="O291" s="45">
        <v>67820.162576919043</v>
      </c>
      <c r="P291" s="45">
        <v>1332</v>
      </c>
      <c r="Q291" s="45">
        <v>3065</v>
      </c>
      <c r="R291" s="45">
        <v>698</v>
      </c>
      <c r="S291" s="45">
        <v>808</v>
      </c>
      <c r="T291" s="45">
        <v>2638</v>
      </c>
      <c r="U291" s="45">
        <v>1264</v>
      </c>
      <c r="V291" s="45">
        <v>630</v>
      </c>
      <c r="W291" s="45">
        <v>588</v>
      </c>
      <c r="X291" s="45">
        <v>421</v>
      </c>
      <c r="Y291" s="45">
        <v>2794</v>
      </c>
      <c r="Z291" s="45">
        <v>52976716.07</v>
      </c>
      <c r="AA291" s="45">
        <v>124</v>
      </c>
      <c r="AB291" s="45">
        <v>361</v>
      </c>
      <c r="AC291" s="46">
        <v>2109</v>
      </c>
      <c r="AD291" s="45">
        <v>111</v>
      </c>
      <c r="AE291" s="45"/>
      <c r="AF291" s="45"/>
      <c r="AG291" s="45">
        <v>2</v>
      </c>
      <c r="AH291" s="45">
        <v>2</v>
      </c>
      <c r="AI291" s="45"/>
      <c r="AJ291" s="45"/>
      <c r="AK291" s="45"/>
      <c r="AL291" s="45"/>
      <c r="AM291" s="45"/>
      <c r="AN291" s="45"/>
      <c r="AO291" s="45"/>
      <c r="AP291" s="45"/>
      <c r="AQ291" s="45"/>
      <c r="AR291" s="45"/>
      <c r="AS291" s="45"/>
      <c r="AT291" s="45"/>
      <c r="AU291" s="45"/>
      <c r="AV291" s="45"/>
      <c r="AW291" s="45"/>
      <c r="AX291" s="45"/>
      <c r="AY291" s="45"/>
    </row>
    <row r="292" spans="1:51">
      <c r="A292" s="43" t="s">
        <v>49</v>
      </c>
      <c r="B292" s="44">
        <v>19</v>
      </c>
      <c r="C292" s="43" t="s">
        <v>71</v>
      </c>
      <c r="D292" s="43" t="s">
        <v>17</v>
      </c>
      <c r="E292" s="43" t="s">
        <v>92</v>
      </c>
      <c r="F292" s="43">
        <v>2018</v>
      </c>
      <c r="G292" s="45">
        <v>21326</v>
      </c>
      <c r="H292" s="45">
        <v>7840</v>
      </c>
      <c r="I292" s="45">
        <v>13486</v>
      </c>
      <c r="J292" s="45">
        <v>94982</v>
      </c>
      <c r="K292" s="45">
        <v>295</v>
      </c>
      <c r="L292" s="45">
        <v>66</v>
      </c>
      <c r="M292" s="45">
        <v>78</v>
      </c>
      <c r="N292" s="45">
        <v>17243</v>
      </c>
      <c r="O292" s="45">
        <v>266980.64734868531</v>
      </c>
      <c r="P292" s="45">
        <v>9033</v>
      </c>
      <c r="Q292" s="45">
        <v>21351</v>
      </c>
      <c r="R292" s="45">
        <v>4726</v>
      </c>
      <c r="S292" s="45">
        <v>4121</v>
      </c>
      <c r="T292" s="45">
        <v>19837</v>
      </c>
      <c r="U292" s="45">
        <v>8223</v>
      </c>
      <c r="V292" s="45">
        <v>4378</v>
      </c>
      <c r="W292" s="45">
        <v>3658</v>
      </c>
      <c r="X292" s="45">
        <v>3518</v>
      </c>
      <c r="Y292" s="45">
        <v>21326</v>
      </c>
      <c r="Z292" s="45">
        <v>243463751.80000001</v>
      </c>
      <c r="AA292" s="45">
        <v>1084</v>
      </c>
      <c r="AB292" s="45">
        <v>1549</v>
      </c>
      <c r="AC292" s="46">
        <v>27119</v>
      </c>
      <c r="AD292" s="45">
        <v>2664</v>
      </c>
      <c r="AE292" s="45"/>
      <c r="AF292" s="45"/>
      <c r="AG292" s="45">
        <v>90276</v>
      </c>
      <c r="AH292" s="45">
        <v>58432</v>
      </c>
      <c r="AI292" s="45">
        <v>426</v>
      </c>
      <c r="AJ292" s="45"/>
      <c r="AK292" s="45"/>
      <c r="AL292" s="45"/>
      <c r="AM292" s="45"/>
      <c r="AN292" s="45"/>
      <c r="AO292" s="45"/>
      <c r="AP292" s="45"/>
      <c r="AQ292" s="45"/>
      <c r="AR292" s="45"/>
      <c r="AS292" s="45"/>
      <c r="AT292" s="45"/>
      <c r="AU292" s="45"/>
      <c r="AV292" s="45"/>
      <c r="AW292" s="45"/>
      <c r="AX292" s="45"/>
      <c r="AY292" s="45"/>
    </row>
    <row r="293" spans="1:51">
      <c r="A293" s="43" t="s">
        <v>50</v>
      </c>
      <c r="B293" s="44">
        <v>20</v>
      </c>
      <c r="C293" s="43" t="s">
        <v>85</v>
      </c>
      <c r="D293" s="43" t="s">
        <v>28</v>
      </c>
      <c r="E293" s="43" t="s">
        <v>92</v>
      </c>
      <c r="F293" s="43">
        <v>2018</v>
      </c>
      <c r="G293" s="45">
        <v>6115</v>
      </c>
      <c r="H293" s="45">
        <v>2220</v>
      </c>
      <c r="I293" s="45">
        <v>3895</v>
      </c>
      <c r="J293" s="45">
        <v>65886</v>
      </c>
      <c r="K293" s="45">
        <v>119</v>
      </c>
      <c r="L293" s="45">
        <v>25</v>
      </c>
      <c r="M293" s="45">
        <v>29</v>
      </c>
      <c r="N293" s="45">
        <v>5054</v>
      </c>
      <c r="O293" s="45">
        <v>234207.61868783121</v>
      </c>
      <c r="P293" s="45">
        <v>2753</v>
      </c>
      <c r="Q293" s="45">
        <v>6380</v>
      </c>
      <c r="R293" s="45">
        <v>1573</v>
      </c>
      <c r="S293" s="45">
        <v>1422</v>
      </c>
      <c r="T293" s="45">
        <v>5933</v>
      </c>
      <c r="U293" s="45">
        <v>2568</v>
      </c>
      <c r="V293" s="45">
        <v>1373</v>
      </c>
      <c r="W293" s="45">
        <v>1128</v>
      </c>
      <c r="X293" s="45">
        <v>789</v>
      </c>
      <c r="Y293" s="45">
        <v>6115</v>
      </c>
      <c r="Z293" s="45">
        <v>198204901.90000001</v>
      </c>
      <c r="AA293" s="45">
        <v>400</v>
      </c>
      <c r="AB293" s="45">
        <v>637</v>
      </c>
      <c r="AC293" s="46">
        <v>3586</v>
      </c>
      <c r="AD293" s="45">
        <v>20</v>
      </c>
      <c r="AE293" s="45"/>
      <c r="AF293" s="45"/>
      <c r="AG293" s="45">
        <v>635</v>
      </c>
      <c r="AH293" s="45">
        <v>549</v>
      </c>
      <c r="AI293" s="45"/>
      <c r="AJ293" s="45"/>
      <c r="AK293" s="45"/>
      <c r="AL293" s="45"/>
      <c r="AM293" s="45"/>
      <c r="AN293" s="45"/>
      <c r="AO293" s="45"/>
      <c r="AP293" s="45"/>
      <c r="AQ293" s="45"/>
      <c r="AR293" s="45"/>
      <c r="AS293" s="45"/>
      <c r="AT293" s="45"/>
      <c r="AU293" s="45"/>
      <c r="AV293" s="45"/>
      <c r="AW293" s="45"/>
      <c r="AX293" s="45"/>
      <c r="AY293" s="45"/>
    </row>
    <row r="294" spans="1:51">
      <c r="A294" s="43" t="s">
        <v>49</v>
      </c>
      <c r="B294" s="44">
        <v>21</v>
      </c>
      <c r="C294" s="43" t="s">
        <v>72</v>
      </c>
      <c r="D294" s="43" t="s">
        <v>18</v>
      </c>
      <c r="E294" s="43" t="s">
        <v>92</v>
      </c>
      <c r="F294" s="43">
        <v>2018</v>
      </c>
      <c r="G294" s="45">
        <v>7310</v>
      </c>
      <c r="H294" s="45">
        <v>2756</v>
      </c>
      <c r="I294" s="45">
        <v>4554</v>
      </c>
      <c r="J294" s="45">
        <v>120674</v>
      </c>
      <c r="K294" s="45">
        <v>151</v>
      </c>
      <c r="L294" s="45">
        <v>36</v>
      </c>
      <c r="M294" s="45">
        <v>40</v>
      </c>
      <c r="N294" s="45">
        <v>6135</v>
      </c>
      <c r="O294" s="45">
        <v>362648.64012946235</v>
      </c>
      <c r="P294" s="45">
        <v>3917</v>
      </c>
      <c r="Q294" s="45">
        <v>7439</v>
      </c>
      <c r="R294" s="45">
        <v>1955</v>
      </c>
      <c r="S294" s="45">
        <v>764</v>
      </c>
      <c r="T294" s="45">
        <v>6929</v>
      </c>
      <c r="U294" s="45">
        <v>2822</v>
      </c>
      <c r="V294" s="45">
        <v>1769</v>
      </c>
      <c r="W294" s="45">
        <v>1669</v>
      </c>
      <c r="X294" s="45">
        <v>1497</v>
      </c>
      <c r="Y294" s="45">
        <v>7310</v>
      </c>
      <c r="Z294" s="45">
        <v>151077190.185</v>
      </c>
      <c r="AA294" s="45">
        <v>397</v>
      </c>
      <c r="AB294" s="45">
        <v>1005</v>
      </c>
      <c r="AC294" s="46">
        <v>3898</v>
      </c>
      <c r="AD294" s="45">
        <v>151</v>
      </c>
      <c r="AE294" s="45"/>
      <c r="AF294" s="45"/>
      <c r="AG294" s="45">
        <v>4572</v>
      </c>
      <c r="AH294" s="45">
        <v>3346</v>
      </c>
      <c r="AI294" s="45"/>
      <c r="AJ294" s="45"/>
      <c r="AK294" s="45"/>
      <c r="AL294" s="45"/>
      <c r="AM294" s="45"/>
      <c r="AN294" s="45"/>
      <c r="AO294" s="45"/>
      <c r="AP294" s="45"/>
      <c r="AQ294" s="45"/>
      <c r="AR294" s="45"/>
      <c r="AS294" s="45"/>
      <c r="AT294" s="45"/>
      <c r="AU294" s="45"/>
      <c r="AV294" s="45"/>
      <c r="AW294" s="45"/>
      <c r="AX294" s="45"/>
      <c r="AY294" s="45"/>
    </row>
    <row r="295" spans="1:51">
      <c r="A295" s="43" t="s">
        <v>49</v>
      </c>
      <c r="B295" s="44">
        <v>22</v>
      </c>
      <c r="C295" s="43" t="s">
        <v>73</v>
      </c>
      <c r="D295" s="43" t="s">
        <v>29</v>
      </c>
      <c r="E295" s="43" t="s">
        <v>92</v>
      </c>
      <c r="F295" s="43">
        <v>2018</v>
      </c>
      <c r="G295" s="45">
        <v>3473</v>
      </c>
      <c r="H295" s="45">
        <v>1380</v>
      </c>
      <c r="I295" s="45">
        <v>2093</v>
      </c>
      <c r="J295" s="45">
        <v>34202</v>
      </c>
      <c r="K295" s="45">
        <v>67</v>
      </c>
      <c r="L295" s="45">
        <v>24</v>
      </c>
      <c r="M295" s="45">
        <v>28</v>
      </c>
      <c r="N295" s="45">
        <v>2993</v>
      </c>
      <c r="O295" s="45">
        <v>112953.81869980853</v>
      </c>
      <c r="P295" s="45">
        <v>1968</v>
      </c>
      <c r="Q295" s="45">
        <v>3418</v>
      </c>
      <c r="R295" s="45">
        <v>829</v>
      </c>
      <c r="S295" s="45">
        <v>797</v>
      </c>
      <c r="T295" s="45">
        <v>3178</v>
      </c>
      <c r="U295" s="45">
        <v>1374</v>
      </c>
      <c r="V295" s="45">
        <v>745</v>
      </c>
      <c r="W295" s="45">
        <v>811</v>
      </c>
      <c r="X295" s="45">
        <v>778</v>
      </c>
      <c r="Y295" s="45">
        <v>3473</v>
      </c>
      <c r="Z295" s="45">
        <v>53835720.295000002</v>
      </c>
      <c r="AA295" s="45">
        <v>241</v>
      </c>
      <c r="AB295" s="45">
        <v>449</v>
      </c>
      <c r="AC295" s="46">
        <v>1223</v>
      </c>
      <c r="AD295" s="45">
        <v>80</v>
      </c>
      <c r="AE295" s="45"/>
      <c r="AF295" s="45"/>
      <c r="AG295" s="45">
        <v>4</v>
      </c>
      <c r="AH295" s="45">
        <v>2</v>
      </c>
      <c r="AI295" s="45"/>
      <c r="AJ295" s="45"/>
      <c r="AK295" s="45"/>
      <c r="AL295" s="45"/>
      <c r="AM295" s="45"/>
      <c r="AN295" s="45"/>
      <c r="AO295" s="45"/>
      <c r="AP295" s="45"/>
      <c r="AQ295" s="45"/>
      <c r="AR295" s="45"/>
      <c r="AS295" s="45"/>
      <c r="AT295" s="45"/>
      <c r="AU295" s="45"/>
      <c r="AV295" s="45"/>
      <c r="AW295" s="45"/>
      <c r="AX295" s="45"/>
      <c r="AY295" s="45"/>
    </row>
    <row r="296" spans="1:51">
      <c r="A296" s="43" t="s">
        <v>49</v>
      </c>
      <c r="B296" s="44">
        <v>23</v>
      </c>
      <c r="C296" s="43" t="s">
        <v>74</v>
      </c>
      <c r="D296" s="43" t="s">
        <v>19</v>
      </c>
      <c r="E296" s="43" t="s">
        <v>92</v>
      </c>
      <c r="F296" s="43">
        <v>2018</v>
      </c>
      <c r="G296" s="45">
        <v>8590</v>
      </c>
      <c r="H296" s="45">
        <v>3139</v>
      </c>
      <c r="I296" s="45">
        <v>5451</v>
      </c>
      <c r="J296" s="45">
        <v>26046</v>
      </c>
      <c r="K296" s="45">
        <v>109</v>
      </c>
      <c r="L296" s="45">
        <v>15</v>
      </c>
      <c r="M296" s="45">
        <v>29</v>
      </c>
      <c r="N296" s="45">
        <v>6895</v>
      </c>
      <c r="O296" s="45">
        <v>85062.009804503905</v>
      </c>
      <c r="P296" s="45">
        <v>3612</v>
      </c>
      <c r="Q296" s="45">
        <v>8622</v>
      </c>
      <c r="R296" s="45">
        <v>1955</v>
      </c>
      <c r="S296" s="45">
        <v>1409</v>
      </c>
      <c r="T296" s="45">
        <v>8020</v>
      </c>
      <c r="U296" s="45">
        <v>3286</v>
      </c>
      <c r="V296" s="45">
        <v>1786</v>
      </c>
      <c r="W296" s="45">
        <v>1512</v>
      </c>
      <c r="X296" s="45">
        <v>1353</v>
      </c>
      <c r="Y296" s="45">
        <v>8590</v>
      </c>
      <c r="Z296" s="45">
        <v>100698271.145</v>
      </c>
      <c r="AA296" s="45">
        <v>425</v>
      </c>
      <c r="AB296" s="45">
        <v>771</v>
      </c>
      <c r="AC296" s="46">
        <v>2332</v>
      </c>
      <c r="AD296" s="45">
        <v>11</v>
      </c>
      <c r="AE296" s="45"/>
      <c r="AF296" s="45"/>
      <c r="AG296" s="45">
        <v>174</v>
      </c>
      <c r="AH296" s="45">
        <v>148</v>
      </c>
      <c r="AI296" s="45"/>
      <c r="AJ296" s="45"/>
      <c r="AK296" s="45"/>
      <c r="AL296" s="45"/>
      <c r="AM296" s="45"/>
      <c r="AN296" s="45"/>
      <c r="AO296" s="45"/>
      <c r="AP296" s="45"/>
      <c r="AQ296" s="45"/>
      <c r="AR296" s="45"/>
      <c r="AS296" s="45"/>
      <c r="AT296" s="45"/>
      <c r="AU296" s="45"/>
      <c r="AV296" s="45"/>
      <c r="AW296" s="45"/>
      <c r="AX296" s="45"/>
      <c r="AY296" s="45"/>
    </row>
    <row r="297" spans="1:51">
      <c r="A297" s="43" t="s">
        <v>49</v>
      </c>
      <c r="B297" s="44">
        <v>24</v>
      </c>
      <c r="C297" s="43" t="s">
        <v>75</v>
      </c>
      <c r="D297" s="43" t="s">
        <v>20</v>
      </c>
      <c r="E297" s="43" t="s">
        <v>92</v>
      </c>
      <c r="F297" s="43">
        <v>2018</v>
      </c>
      <c r="G297" s="45">
        <v>5259</v>
      </c>
      <c r="H297" s="45">
        <v>1930</v>
      </c>
      <c r="I297" s="45">
        <v>3329</v>
      </c>
      <c r="J297" s="45">
        <v>57201</v>
      </c>
      <c r="K297" s="45">
        <v>99</v>
      </c>
      <c r="L297" s="45">
        <v>24</v>
      </c>
      <c r="M297" s="45">
        <v>24</v>
      </c>
      <c r="N297" s="45">
        <v>4224</v>
      </c>
      <c r="O297" s="45">
        <v>158793.48904400849</v>
      </c>
      <c r="P297" s="45">
        <v>2424</v>
      </c>
      <c r="Q297" s="45">
        <v>5729</v>
      </c>
      <c r="R297" s="45">
        <v>1320</v>
      </c>
      <c r="S297" s="45">
        <v>1411</v>
      </c>
      <c r="T297" s="45">
        <v>5053</v>
      </c>
      <c r="U297" s="45">
        <v>2258</v>
      </c>
      <c r="V297" s="45">
        <v>1163</v>
      </c>
      <c r="W297" s="45">
        <v>989</v>
      </c>
      <c r="X297" s="45">
        <v>912</v>
      </c>
      <c r="Y297" s="45">
        <v>5259</v>
      </c>
      <c r="Z297" s="45">
        <v>88231432.405000001</v>
      </c>
      <c r="AA297" s="45">
        <v>246</v>
      </c>
      <c r="AB297" s="45">
        <v>427</v>
      </c>
      <c r="AC297" s="46">
        <v>3301</v>
      </c>
      <c r="AD297" s="45">
        <v>87</v>
      </c>
      <c r="AE297" s="45"/>
      <c r="AF297" s="45"/>
      <c r="AG297" s="45">
        <v>578</v>
      </c>
      <c r="AH297" s="45">
        <v>556</v>
      </c>
      <c r="AI297" s="45"/>
      <c r="AJ297" s="45"/>
      <c r="AK297" s="45"/>
      <c r="AL297" s="45"/>
      <c r="AM297" s="45"/>
      <c r="AN297" s="45"/>
      <c r="AO297" s="45"/>
      <c r="AP297" s="45"/>
      <c r="AQ297" s="45"/>
      <c r="AR297" s="45"/>
      <c r="AS297" s="45"/>
      <c r="AT297" s="45"/>
      <c r="AU297" s="45"/>
      <c r="AV297" s="45"/>
      <c r="AW297" s="45"/>
      <c r="AX297" s="45"/>
      <c r="AY297" s="45"/>
    </row>
    <row r="298" spans="1:51">
      <c r="A298" s="43" t="s">
        <v>49</v>
      </c>
      <c r="B298" s="44">
        <v>25</v>
      </c>
      <c r="C298" s="43" t="s">
        <v>76</v>
      </c>
      <c r="D298" s="43" t="s">
        <v>21</v>
      </c>
      <c r="E298" s="43" t="s">
        <v>92</v>
      </c>
      <c r="F298" s="43">
        <v>2018</v>
      </c>
      <c r="G298" s="45">
        <v>8604</v>
      </c>
      <c r="H298" s="45">
        <v>3373</v>
      </c>
      <c r="I298" s="45">
        <v>5231</v>
      </c>
      <c r="J298" s="45">
        <v>52946</v>
      </c>
      <c r="K298" s="45">
        <v>234</v>
      </c>
      <c r="L298" s="45">
        <v>72</v>
      </c>
      <c r="M298" s="45">
        <v>42</v>
      </c>
      <c r="N298" s="45">
        <v>7544</v>
      </c>
      <c r="O298" s="45">
        <v>162640.48544064179</v>
      </c>
      <c r="P298" s="45">
        <v>3775</v>
      </c>
      <c r="Q298" s="45">
        <v>8577</v>
      </c>
      <c r="R298" s="45">
        <v>2101</v>
      </c>
      <c r="S298" s="45">
        <v>1875</v>
      </c>
      <c r="T298" s="45">
        <v>7910</v>
      </c>
      <c r="U298" s="45">
        <v>3326</v>
      </c>
      <c r="V298" s="45">
        <v>1964</v>
      </c>
      <c r="W298" s="45">
        <v>1739</v>
      </c>
      <c r="X298" s="45">
        <v>1696</v>
      </c>
      <c r="Y298" s="45">
        <v>8604</v>
      </c>
      <c r="Z298" s="45">
        <v>247272786.785</v>
      </c>
      <c r="AA298" s="45">
        <v>529</v>
      </c>
      <c r="AB298" s="45">
        <v>1117</v>
      </c>
      <c r="AC298" s="46">
        <v>487</v>
      </c>
      <c r="AD298" s="45">
        <v>124</v>
      </c>
      <c r="AE298" s="45"/>
      <c r="AF298" s="45"/>
      <c r="AG298" s="45">
        <v>57</v>
      </c>
      <c r="AH298" s="45">
        <v>14</v>
      </c>
      <c r="AI298" s="45"/>
      <c r="AJ298" s="45"/>
      <c r="AK298" s="45"/>
      <c r="AL298" s="45"/>
      <c r="AM298" s="45"/>
      <c r="AN298" s="45"/>
      <c r="AO298" s="45"/>
      <c r="AP298" s="45"/>
      <c r="AQ298" s="45"/>
      <c r="AR298" s="45"/>
      <c r="AS298" s="45"/>
      <c r="AT298" s="45"/>
      <c r="AU298" s="45"/>
      <c r="AV298" s="45"/>
      <c r="AW298" s="45"/>
      <c r="AX298" s="45"/>
      <c r="AY298" s="45"/>
    </row>
    <row r="299" spans="1:51">
      <c r="A299" s="43" t="s">
        <v>49</v>
      </c>
      <c r="B299" s="44">
        <v>26</v>
      </c>
      <c r="C299" s="43" t="s">
        <v>77</v>
      </c>
      <c r="D299" s="43" t="s">
        <v>22</v>
      </c>
      <c r="E299" s="43" t="s">
        <v>92</v>
      </c>
      <c r="F299" s="43">
        <v>2018</v>
      </c>
      <c r="G299" s="45">
        <v>14826</v>
      </c>
      <c r="H299" s="45">
        <v>5940</v>
      </c>
      <c r="I299" s="45">
        <v>8886</v>
      </c>
      <c r="J299" s="45">
        <v>47160</v>
      </c>
      <c r="K299" s="45">
        <v>269</v>
      </c>
      <c r="L299" s="45">
        <v>47</v>
      </c>
      <c r="M299" s="45">
        <v>51</v>
      </c>
      <c r="N299" s="45">
        <v>12472</v>
      </c>
      <c r="O299" s="45">
        <v>160641.37028213684</v>
      </c>
      <c r="P299" s="45">
        <v>6161</v>
      </c>
      <c r="Q299" s="45">
        <v>15277</v>
      </c>
      <c r="R299" s="45">
        <v>2926</v>
      </c>
      <c r="S299" s="45">
        <v>4038</v>
      </c>
      <c r="T299" s="45">
        <v>13713</v>
      </c>
      <c r="U299" s="45">
        <v>6199</v>
      </c>
      <c r="V299" s="45">
        <v>2606</v>
      </c>
      <c r="W299" s="45">
        <v>2463</v>
      </c>
      <c r="X299" s="45">
        <v>1715</v>
      </c>
      <c r="Y299" s="45">
        <v>14826</v>
      </c>
      <c r="Z299" s="45">
        <v>226945796.19499999</v>
      </c>
      <c r="AA299" s="45">
        <v>662</v>
      </c>
      <c r="AB299" s="45">
        <v>857</v>
      </c>
      <c r="AC299" s="46">
        <v>5794</v>
      </c>
      <c r="AD299" s="45">
        <v>494</v>
      </c>
      <c r="AE299" s="45"/>
      <c r="AF299" s="45"/>
      <c r="AG299" s="45">
        <v>5</v>
      </c>
      <c r="AH299" s="45">
        <v>0</v>
      </c>
      <c r="AI299" s="45"/>
      <c r="AJ299" s="45"/>
      <c r="AK299" s="45"/>
      <c r="AL299" s="45"/>
      <c r="AM299" s="45"/>
      <c r="AN299" s="45"/>
      <c r="AO299" s="45"/>
      <c r="AP299" s="45"/>
      <c r="AQ299" s="45"/>
      <c r="AR299" s="45"/>
      <c r="AS299" s="45"/>
      <c r="AT299" s="45"/>
      <c r="AU299" s="45"/>
      <c r="AV299" s="45"/>
      <c r="AW299" s="45"/>
      <c r="AX299" s="45"/>
      <c r="AY299" s="45"/>
    </row>
    <row r="300" spans="1:51">
      <c r="A300" s="43" t="s">
        <v>49</v>
      </c>
      <c r="B300" s="44">
        <v>27</v>
      </c>
      <c r="C300" s="43" t="s">
        <v>78</v>
      </c>
      <c r="D300" s="43" t="s">
        <v>23</v>
      </c>
      <c r="E300" s="43" t="s">
        <v>92</v>
      </c>
      <c r="F300" s="43">
        <v>2018</v>
      </c>
      <c r="G300" s="45">
        <v>5608</v>
      </c>
      <c r="H300" s="45">
        <v>2062</v>
      </c>
      <c r="I300" s="45">
        <v>3546</v>
      </c>
      <c r="J300" s="45">
        <v>41273</v>
      </c>
      <c r="K300" s="45">
        <v>88</v>
      </c>
      <c r="L300" s="45">
        <v>21</v>
      </c>
      <c r="M300" s="45">
        <v>22</v>
      </c>
      <c r="N300" s="45">
        <v>4932</v>
      </c>
      <c r="O300" s="45">
        <v>133002.08940500516</v>
      </c>
      <c r="P300" s="45">
        <v>2062</v>
      </c>
      <c r="Q300" s="45">
        <v>5685</v>
      </c>
      <c r="R300" s="45">
        <v>1527</v>
      </c>
      <c r="S300" s="45">
        <v>644</v>
      </c>
      <c r="T300" s="45">
        <v>5316</v>
      </c>
      <c r="U300" s="45">
        <v>2280</v>
      </c>
      <c r="V300" s="45">
        <v>1398</v>
      </c>
      <c r="W300" s="45">
        <v>1303</v>
      </c>
      <c r="X300" s="45">
        <v>1195</v>
      </c>
      <c r="Y300" s="45">
        <v>5608</v>
      </c>
      <c r="Z300" s="45">
        <v>112835125.86</v>
      </c>
      <c r="AA300" s="45">
        <v>294</v>
      </c>
      <c r="AB300" s="45">
        <v>484</v>
      </c>
      <c r="AC300" s="46">
        <v>430</v>
      </c>
      <c r="AD300" s="45">
        <v>27</v>
      </c>
      <c r="AE300" s="45"/>
      <c r="AF300" s="45"/>
      <c r="AG300" s="45">
        <v>132</v>
      </c>
      <c r="AH300" s="45">
        <v>71</v>
      </c>
      <c r="AI300" s="45"/>
      <c r="AJ300" s="45"/>
      <c r="AK300" s="45"/>
      <c r="AL300" s="45"/>
      <c r="AM300" s="45"/>
      <c r="AN300" s="45"/>
      <c r="AO300" s="45"/>
      <c r="AP300" s="45"/>
      <c r="AQ300" s="45"/>
      <c r="AR300" s="45"/>
      <c r="AS300" s="45"/>
      <c r="AT300" s="45"/>
      <c r="AU300" s="45"/>
      <c r="AV300" s="45"/>
      <c r="AW300" s="45"/>
      <c r="AX300" s="45"/>
      <c r="AY300" s="45"/>
    </row>
    <row r="301" spans="1:51">
      <c r="A301" s="43" t="s">
        <v>49</v>
      </c>
      <c r="B301" s="44">
        <v>28</v>
      </c>
      <c r="C301" s="43" t="s">
        <v>79</v>
      </c>
      <c r="D301" s="43" t="s">
        <v>24</v>
      </c>
      <c r="E301" s="43" t="s">
        <v>92</v>
      </c>
      <c r="F301" s="43">
        <v>2018</v>
      </c>
      <c r="G301" s="45">
        <v>8533</v>
      </c>
      <c r="H301" s="45">
        <v>3183</v>
      </c>
      <c r="I301" s="45">
        <v>5350</v>
      </c>
      <c r="J301" s="45">
        <v>51248</v>
      </c>
      <c r="K301" s="45">
        <v>157</v>
      </c>
      <c r="L301" s="45">
        <v>30</v>
      </c>
      <c r="M301" s="45">
        <v>37</v>
      </c>
      <c r="N301" s="45">
        <v>7449</v>
      </c>
      <c r="O301" s="45">
        <v>187732.87996738573</v>
      </c>
      <c r="P301" s="45">
        <v>3548</v>
      </c>
      <c r="Q301" s="45">
        <v>8707</v>
      </c>
      <c r="R301" s="45">
        <v>2052</v>
      </c>
      <c r="S301" s="45">
        <v>1820</v>
      </c>
      <c r="T301" s="45">
        <v>8137</v>
      </c>
      <c r="U301" s="45">
        <v>3517</v>
      </c>
      <c r="V301" s="45">
        <v>1856</v>
      </c>
      <c r="W301" s="45">
        <v>1898</v>
      </c>
      <c r="X301" s="45">
        <v>1630</v>
      </c>
      <c r="Y301" s="45">
        <v>8533</v>
      </c>
      <c r="Z301" s="45">
        <v>175108866.91499999</v>
      </c>
      <c r="AA301" s="45">
        <v>388</v>
      </c>
      <c r="AB301" s="45">
        <v>1077</v>
      </c>
      <c r="AC301" s="46">
        <v>10400</v>
      </c>
      <c r="AD301" s="45">
        <v>171</v>
      </c>
      <c r="AE301" s="45"/>
      <c r="AF301" s="45"/>
      <c r="AG301" s="45">
        <v>160</v>
      </c>
      <c r="AH301" s="45">
        <v>131</v>
      </c>
      <c r="AI301" s="45">
        <v>104</v>
      </c>
      <c r="AJ301" s="45"/>
      <c r="AK301" s="45"/>
      <c r="AL301" s="45"/>
      <c r="AM301" s="45"/>
      <c r="AN301" s="45"/>
      <c r="AO301" s="45"/>
      <c r="AP301" s="45"/>
      <c r="AQ301" s="45"/>
      <c r="AR301" s="45"/>
      <c r="AS301" s="45"/>
      <c r="AT301" s="45"/>
      <c r="AU301" s="45"/>
      <c r="AV301" s="45"/>
      <c r="AW301" s="45"/>
      <c r="AX301" s="45"/>
      <c r="AY301" s="45"/>
    </row>
    <row r="302" spans="1:51">
      <c r="A302" s="43" t="s">
        <v>49</v>
      </c>
      <c r="B302" s="44">
        <v>29</v>
      </c>
      <c r="C302" s="43" t="s">
        <v>80</v>
      </c>
      <c r="D302" s="43" t="s">
        <v>25</v>
      </c>
      <c r="E302" s="43" t="s">
        <v>92</v>
      </c>
      <c r="F302" s="43">
        <v>2018</v>
      </c>
      <c r="G302" s="45">
        <v>3232</v>
      </c>
      <c r="H302" s="45">
        <v>1170</v>
      </c>
      <c r="I302" s="45">
        <v>2062</v>
      </c>
      <c r="J302" s="45">
        <v>23003</v>
      </c>
      <c r="K302" s="45">
        <v>49</v>
      </c>
      <c r="L302" s="45">
        <v>18</v>
      </c>
      <c r="M302" s="45">
        <v>15</v>
      </c>
      <c r="N302" s="45">
        <v>2871</v>
      </c>
      <c r="O302" s="45">
        <v>74315.320716950271</v>
      </c>
      <c r="P302" s="45">
        <v>1389</v>
      </c>
      <c r="Q302" s="45">
        <v>3243</v>
      </c>
      <c r="R302" s="45">
        <v>709</v>
      </c>
      <c r="S302" s="45">
        <v>387</v>
      </c>
      <c r="T302" s="45">
        <v>2964</v>
      </c>
      <c r="U302" s="45">
        <v>1143</v>
      </c>
      <c r="V302" s="45">
        <v>594</v>
      </c>
      <c r="W302" s="45">
        <v>562</v>
      </c>
      <c r="X302" s="45">
        <v>546</v>
      </c>
      <c r="Y302" s="45">
        <v>3232</v>
      </c>
      <c r="Z302" s="45">
        <v>42775667.829999998</v>
      </c>
      <c r="AA302" s="45">
        <v>182</v>
      </c>
      <c r="AB302" s="45">
        <v>455</v>
      </c>
      <c r="AC302" s="46">
        <v>2082</v>
      </c>
      <c r="AD302" s="45">
        <v>119</v>
      </c>
      <c r="AE302" s="45"/>
      <c r="AF302" s="45"/>
      <c r="AG302" s="45">
        <v>26</v>
      </c>
      <c r="AH302" s="45">
        <v>23</v>
      </c>
      <c r="AI302" s="45"/>
      <c r="AJ302" s="45"/>
      <c r="AK302" s="45"/>
      <c r="AL302" s="45"/>
      <c r="AM302" s="45"/>
      <c r="AN302" s="45"/>
      <c r="AO302" s="45"/>
      <c r="AP302" s="45"/>
      <c r="AQ302" s="45"/>
      <c r="AR302" s="45"/>
      <c r="AS302" s="45"/>
      <c r="AT302" s="45"/>
      <c r="AU302" s="45"/>
      <c r="AV302" s="45"/>
      <c r="AW302" s="45"/>
      <c r="AX302" s="45"/>
      <c r="AY302" s="45"/>
    </row>
    <row r="303" spans="1:51">
      <c r="A303" s="43" t="s">
        <v>49</v>
      </c>
      <c r="B303" s="44">
        <v>30</v>
      </c>
      <c r="C303" s="43" t="s">
        <v>81</v>
      </c>
      <c r="D303" s="43" t="s">
        <v>53</v>
      </c>
      <c r="E303" s="43" t="s">
        <v>92</v>
      </c>
      <c r="F303" s="43">
        <v>2018</v>
      </c>
      <c r="G303" s="45">
        <v>8858</v>
      </c>
      <c r="H303" s="45">
        <v>3279</v>
      </c>
      <c r="I303" s="45">
        <v>5579</v>
      </c>
      <c r="J303" s="45">
        <v>131256</v>
      </c>
      <c r="K303" s="45">
        <v>174</v>
      </c>
      <c r="L303" s="45">
        <v>42</v>
      </c>
      <c r="M303" s="45">
        <v>77</v>
      </c>
      <c r="N303" s="45">
        <v>7747</v>
      </c>
      <c r="O303" s="45">
        <v>432896.89882477239</v>
      </c>
      <c r="P303" s="45">
        <v>4334</v>
      </c>
      <c r="Q303" s="45">
        <v>9115</v>
      </c>
      <c r="R303" s="45">
        <v>2633</v>
      </c>
      <c r="S303" s="45">
        <v>1053</v>
      </c>
      <c r="T303" s="45">
        <v>8678</v>
      </c>
      <c r="U303" s="45">
        <v>3736</v>
      </c>
      <c r="V303" s="45">
        <v>2472</v>
      </c>
      <c r="W303" s="45">
        <v>2218</v>
      </c>
      <c r="X303" s="45">
        <v>1979</v>
      </c>
      <c r="Y303" s="45">
        <v>8858</v>
      </c>
      <c r="Z303" s="45">
        <v>234497481.155</v>
      </c>
      <c r="AA303" s="45">
        <v>531</v>
      </c>
      <c r="AB303" s="45">
        <v>1543</v>
      </c>
      <c r="AC303" s="46">
        <v>7078</v>
      </c>
      <c r="AD303" s="45">
        <v>132</v>
      </c>
      <c r="AE303" s="45"/>
      <c r="AF303" s="45"/>
      <c r="AG303" s="45">
        <v>907</v>
      </c>
      <c r="AH303" s="45">
        <v>768</v>
      </c>
      <c r="AI303" s="45">
        <v>720</v>
      </c>
      <c r="AJ303" s="45"/>
      <c r="AK303" s="45"/>
      <c r="AL303" s="45"/>
      <c r="AM303" s="45"/>
      <c r="AN303" s="45"/>
      <c r="AO303" s="45"/>
      <c r="AP303" s="45"/>
      <c r="AQ303" s="45"/>
      <c r="AR303" s="45"/>
      <c r="AS303" s="45"/>
      <c r="AT303" s="45"/>
      <c r="AU303" s="45"/>
      <c r="AV303" s="45"/>
      <c r="AW303" s="45"/>
      <c r="AX303" s="45"/>
      <c r="AY303" s="45"/>
    </row>
    <row r="304" spans="1:51">
      <c r="A304" s="43" t="s">
        <v>49</v>
      </c>
      <c r="B304" s="44">
        <v>31</v>
      </c>
      <c r="C304" s="43" t="s">
        <v>82</v>
      </c>
      <c r="D304" s="43" t="s">
        <v>26</v>
      </c>
      <c r="E304" s="43" t="s">
        <v>92</v>
      </c>
      <c r="F304" s="43">
        <v>2018</v>
      </c>
      <c r="G304" s="45">
        <v>5303</v>
      </c>
      <c r="H304" s="45">
        <v>1915</v>
      </c>
      <c r="I304" s="45">
        <v>3388</v>
      </c>
      <c r="J304" s="45">
        <v>35849</v>
      </c>
      <c r="K304" s="45">
        <v>69</v>
      </c>
      <c r="L304" s="45">
        <v>9</v>
      </c>
      <c r="M304" s="45">
        <v>20</v>
      </c>
      <c r="N304" s="45">
        <v>3944</v>
      </c>
      <c r="O304" s="45">
        <v>110271.51218978132</v>
      </c>
      <c r="P304" s="45">
        <v>2492</v>
      </c>
      <c r="Q304" s="45">
        <v>5258</v>
      </c>
      <c r="R304" s="45">
        <v>1162</v>
      </c>
      <c r="S304" s="45">
        <v>1197</v>
      </c>
      <c r="T304" s="45">
        <v>4990</v>
      </c>
      <c r="U304" s="45">
        <v>1913</v>
      </c>
      <c r="V304" s="45">
        <v>1030</v>
      </c>
      <c r="W304" s="45">
        <v>1031</v>
      </c>
      <c r="X304" s="45">
        <v>820</v>
      </c>
      <c r="Y304" s="45">
        <v>5303</v>
      </c>
      <c r="Z304" s="45">
        <v>109480043.905</v>
      </c>
      <c r="AA304" s="45">
        <v>277</v>
      </c>
      <c r="AB304" s="45">
        <v>484</v>
      </c>
      <c r="AC304" s="46">
        <v>3327</v>
      </c>
      <c r="AD304" s="45">
        <v>525</v>
      </c>
      <c r="AE304" s="45"/>
      <c r="AF304" s="45"/>
      <c r="AG304" s="45">
        <v>445</v>
      </c>
      <c r="AH304" s="45">
        <v>433</v>
      </c>
      <c r="AI304" s="45"/>
      <c r="AJ304" s="45"/>
      <c r="AK304" s="45"/>
      <c r="AL304" s="45"/>
      <c r="AM304" s="45"/>
      <c r="AN304" s="45"/>
      <c r="AO304" s="45"/>
      <c r="AP304" s="45"/>
      <c r="AQ304" s="45"/>
      <c r="AR304" s="45"/>
      <c r="AS304" s="45"/>
      <c r="AT304" s="45"/>
      <c r="AU304" s="45"/>
      <c r="AV304" s="45"/>
      <c r="AW304" s="45"/>
      <c r="AX304" s="45"/>
      <c r="AY304" s="45"/>
    </row>
    <row r="305" spans="1:51">
      <c r="A305" s="43" t="s">
        <v>49</v>
      </c>
      <c r="B305" s="44">
        <v>32</v>
      </c>
      <c r="C305" s="43" t="s">
        <v>83</v>
      </c>
      <c r="D305" s="43" t="s">
        <v>27</v>
      </c>
      <c r="E305" s="43" t="s">
        <v>92</v>
      </c>
      <c r="F305" s="43">
        <v>2018</v>
      </c>
      <c r="G305" s="45">
        <v>1538</v>
      </c>
      <c r="H305" s="45">
        <v>619</v>
      </c>
      <c r="I305" s="45">
        <v>919</v>
      </c>
      <c r="J305" s="45">
        <v>26709</v>
      </c>
      <c r="K305" s="45">
        <v>60</v>
      </c>
      <c r="L305" s="45">
        <v>18</v>
      </c>
      <c r="M305" s="45">
        <v>7</v>
      </c>
      <c r="N305" s="45">
        <v>1226</v>
      </c>
      <c r="O305" s="45">
        <v>89190.403622109137</v>
      </c>
      <c r="P305" s="45">
        <v>671</v>
      </c>
      <c r="Q305" s="45">
        <v>1552</v>
      </c>
      <c r="R305" s="45">
        <v>311</v>
      </c>
      <c r="S305" s="45">
        <v>503</v>
      </c>
      <c r="T305" s="45">
        <v>1377</v>
      </c>
      <c r="U305" s="45">
        <v>779</v>
      </c>
      <c r="V305" s="45">
        <v>262</v>
      </c>
      <c r="W305" s="45">
        <v>260</v>
      </c>
      <c r="X305" s="45">
        <v>259</v>
      </c>
      <c r="Y305" s="45">
        <v>1538</v>
      </c>
      <c r="Z305" s="45">
        <v>41952964.865000002</v>
      </c>
      <c r="AA305" s="45">
        <v>85</v>
      </c>
      <c r="AB305" s="45">
        <v>197</v>
      </c>
      <c r="AC305" s="46">
        <v>2252</v>
      </c>
      <c r="AD305" s="45">
        <v>218</v>
      </c>
      <c r="AE305" s="45"/>
      <c r="AF305" s="45"/>
      <c r="AG305" s="45">
        <v>78</v>
      </c>
      <c r="AH305" s="45">
        <v>78</v>
      </c>
      <c r="AI305" s="45"/>
      <c r="AJ305" s="45"/>
      <c r="AK305" s="45"/>
      <c r="AL305" s="45"/>
      <c r="AM305" s="45"/>
      <c r="AN305" s="45"/>
      <c r="AO305" s="45"/>
      <c r="AP305" s="45"/>
      <c r="AQ305" s="45"/>
      <c r="AR305" s="45"/>
      <c r="AS305" s="45"/>
      <c r="AT305" s="45"/>
      <c r="AU305" s="45"/>
      <c r="AV305" s="45"/>
      <c r="AW305" s="45"/>
      <c r="AX305" s="45"/>
      <c r="AY305" s="45"/>
    </row>
    <row r="306" spans="1:51">
      <c r="A306" s="43" t="s">
        <v>124</v>
      </c>
      <c r="B306" s="44">
        <v>33</v>
      </c>
      <c r="C306" s="43" t="s">
        <v>125</v>
      </c>
      <c r="D306" s="43" t="s">
        <v>40</v>
      </c>
      <c r="E306" s="43" t="s">
        <v>92</v>
      </c>
      <c r="F306" s="43">
        <v>2018</v>
      </c>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v>707</v>
      </c>
      <c r="AH306" s="45">
        <v>664</v>
      </c>
      <c r="AI306" s="45"/>
      <c r="AJ306" s="45"/>
      <c r="AK306" s="45"/>
      <c r="AL306" s="45"/>
      <c r="AM306" s="45"/>
      <c r="AN306" s="45"/>
      <c r="AO306" s="45"/>
      <c r="AP306" s="45"/>
      <c r="AQ306" s="45"/>
      <c r="AR306" s="45"/>
      <c r="AS306" s="45"/>
      <c r="AT306" s="45"/>
      <c r="AU306" s="45"/>
      <c r="AV306" s="45"/>
      <c r="AW306" s="45"/>
      <c r="AX306" s="45"/>
      <c r="AY306" s="45"/>
    </row>
    <row r="307" spans="1:51">
      <c r="A307" s="43" t="s">
        <v>50</v>
      </c>
      <c r="B307" s="44">
        <v>0</v>
      </c>
      <c r="C307" s="43" t="s">
        <v>123</v>
      </c>
      <c r="D307" s="43" t="s">
        <v>39</v>
      </c>
      <c r="E307" s="43" t="s">
        <v>92</v>
      </c>
      <c r="F307" s="43">
        <v>2018</v>
      </c>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v>1188</v>
      </c>
      <c r="AD307" s="45"/>
      <c r="AE307" s="45"/>
      <c r="AF307" s="45"/>
      <c r="AG307" s="45">
        <v>9842</v>
      </c>
      <c r="AH307" s="45">
        <v>9103</v>
      </c>
      <c r="AI307" s="45"/>
      <c r="AJ307" s="45">
        <v>367837.29021000001</v>
      </c>
      <c r="AK307" s="45">
        <v>1578480</v>
      </c>
      <c r="AL307" s="45">
        <v>1578480</v>
      </c>
      <c r="AM307" s="45">
        <v>1583166</v>
      </c>
      <c r="AN307" s="45">
        <v>1528166.3060000001</v>
      </c>
      <c r="AO307" s="45">
        <v>1528166.3060000001</v>
      </c>
      <c r="AP307" s="45">
        <v>1574833.44</v>
      </c>
      <c r="AQ307" s="45">
        <v>1579519.281</v>
      </c>
      <c r="AR307" s="45">
        <v>3647.0250000000001</v>
      </c>
      <c r="AS307" s="45">
        <v>3647.0250000000001</v>
      </c>
      <c r="AT307" s="45">
        <v>50314.159</v>
      </c>
      <c r="AU307" s="45">
        <v>1578480.4650000001</v>
      </c>
      <c r="AV307" s="45">
        <v>50568.584999999999</v>
      </c>
      <c r="AW307" s="45">
        <v>55000</v>
      </c>
      <c r="AX307" s="45">
        <v>1578480.4650000001</v>
      </c>
      <c r="AY307" s="45">
        <v>1583166.3060000001</v>
      </c>
    </row>
    <row r="308" spans="1:51">
      <c r="A308" s="262" t="s">
        <v>49</v>
      </c>
      <c r="B308" s="263">
        <v>1</v>
      </c>
      <c r="C308" s="262" t="s">
        <v>54</v>
      </c>
      <c r="D308" s="262" t="s">
        <v>1</v>
      </c>
      <c r="E308" s="263" t="s">
        <v>260</v>
      </c>
      <c r="F308" s="262">
        <v>2019</v>
      </c>
      <c r="G308" s="264">
        <v>4532</v>
      </c>
      <c r="H308" s="264">
        <v>1624</v>
      </c>
      <c r="I308" s="264">
        <v>2908</v>
      </c>
      <c r="J308" s="264">
        <v>20849</v>
      </c>
      <c r="K308" s="264">
        <v>83</v>
      </c>
      <c r="L308" s="264">
        <v>19</v>
      </c>
      <c r="M308" s="264">
        <v>22</v>
      </c>
      <c r="N308" s="264">
        <v>4229</v>
      </c>
      <c r="O308" s="264">
        <v>76089.885340188019</v>
      </c>
      <c r="P308" s="264">
        <v>2841</v>
      </c>
      <c r="Q308" s="264">
        <v>4691</v>
      </c>
      <c r="R308" s="264">
        <v>1274</v>
      </c>
      <c r="S308" s="264">
        <v>744</v>
      </c>
      <c r="T308" s="264">
        <v>4422</v>
      </c>
      <c r="U308" s="264">
        <v>1649</v>
      </c>
      <c r="V308" s="264">
        <v>1121</v>
      </c>
      <c r="W308" s="264">
        <v>1070</v>
      </c>
      <c r="X308" s="264">
        <v>980</v>
      </c>
      <c r="Y308" s="264">
        <v>4532</v>
      </c>
      <c r="Z308" s="264">
        <v>72608135.109999999</v>
      </c>
      <c r="AA308" s="264">
        <v>284</v>
      </c>
      <c r="AB308" s="264">
        <v>429</v>
      </c>
      <c r="AC308" s="265">
        <v>2286</v>
      </c>
      <c r="AD308" s="264">
        <v>229</v>
      </c>
      <c r="AE308" s="264"/>
      <c r="AF308" s="264"/>
      <c r="AG308" s="264">
        <v>928</v>
      </c>
      <c r="AH308" s="264">
        <v>837</v>
      </c>
      <c r="AI308" s="264"/>
      <c r="AJ308" s="264"/>
      <c r="AK308" s="264"/>
      <c r="AL308" s="264"/>
      <c r="AM308" s="264"/>
      <c r="AN308" s="264"/>
      <c r="AO308" s="264"/>
      <c r="AP308" s="264"/>
      <c r="AQ308" s="264"/>
      <c r="AR308" s="264"/>
      <c r="AS308" s="264"/>
      <c r="AT308" s="264"/>
      <c r="AU308" s="264"/>
      <c r="AV308" s="264"/>
      <c r="AW308" s="264"/>
      <c r="AX308" s="264"/>
      <c r="AY308" s="264"/>
    </row>
    <row r="309" spans="1:51">
      <c r="A309" s="262" t="s">
        <v>49</v>
      </c>
      <c r="B309" s="263">
        <v>2</v>
      </c>
      <c r="C309" s="262" t="s">
        <v>55</v>
      </c>
      <c r="D309" s="262" t="s">
        <v>3</v>
      </c>
      <c r="E309" s="263" t="s">
        <v>260</v>
      </c>
      <c r="F309" s="262">
        <v>2019</v>
      </c>
      <c r="G309" s="264">
        <v>8748</v>
      </c>
      <c r="H309" s="264">
        <v>3476</v>
      </c>
      <c r="I309" s="264">
        <v>5272</v>
      </c>
      <c r="J309" s="264">
        <v>54463</v>
      </c>
      <c r="K309" s="264">
        <v>125</v>
      </c>
      <c r="L309" s="264">
        <v>32</v>
      </c>
      <c r="M309" s="264">
        <v>24</v>
      </c>
      <c r="N309" s="264">
        <v>7161</v>
      </c>
      <c r="O309" s="264">
        <v>186332.64311271018</v>
      </c>
      <c r="P309" s="264">
        <v>3993</v>
      </c>
      <c r="Q309" s="264">
        <v>8462</v>
      </c>
      <c r="R309" s="264">
        <v>1919</v>
      </c>
      <c r="S309" s="264">
        <v>2160</v>
      </c>
      <c r="T309" s="264">
        <v>7683</v>
      </c>
      <c r="U309" s="264">
        <v>3472</v>
      </c>
      <c r="V309" s="264">
        <v>1641</v>
      </c>
      <c r="W309" s="264">
        <v>1412</v>
      </c>
      <c r="X309" s="264">
        <v>1310</v>
      </c>
      <c r="Y309" s="264">
        <v>8748</v>
      </c>
      <c r="Z309" s="264">
        <v>142428325.71000001</v>
      </c>
      <c r="AA309" s="264">
        <v>398</v>
      </c>
      <c r="AB309" s="264">
        <v>749</v>
      </c>
      <c r="AC309" s="265">
        <v>4935</v>
      </c>
      <c r="AD309" s="264">
        <v>94</v>
      </c>
      <c r="AE309" s="264"/>
      <c r="AF309" s="264"/>
      <c r="AG309" s="264">
        <v>4087</v>
      </c>
      <c r="AH309" s="264">
        <v>3004</v>
      </c>
      <c r="AI309" s="264">
        <v>167</v>
      </c>
      <c r="AJ309" s="264"/>
      <c r="AK309" s="264"/>
      <c r="AL309" s="264"/>
      <c r="AM309" s="264"/>
      <c r="AN309" s="264"/>
      <c r="AO309" s="264"/>
      <c r="AP309" s="264"/>
      <c r="AQ309" s="264"/>
      <c r="AR309" s="264"/>
      <c r="AS309" s="264"/>
      <c r="AT309" s="264"/>
      <c r="AU309" s="264"/>
      <c r="AV309" s="264"/>
      <c r="AW309" s="264"/>
      <c r="AX309" s="264"/>
      <c r="AY309" s="264"/>
    </row>
    <row r="310" spans="1:51">
      <c r="A310" s="262" t="s">
        <v>49</v>
      </c>
      <c r="B310" s="263">
        <v>3</v>
      </c>
      <c r="C310" s="262" t="s">
        <v>56</v>
      </c>
      <c r="D310" s="262" t="s">
        <v>4</v>
      </c>
      <c r="E310" s="263" t="s">
        <v>260</v>
      </c>
      <c r="F310" s="262">
        <v>2019</v>
      </c>
      <c r="G310" s="264">
        <v>1538</v>
      </c>
      <c r="H310" s="264">
        <v>602</v>
      </c>
      <c r="I310" s="264">
        <v>936</v>
      </c>
      <c r="J310" s="264">
        <v>12072</v>
      </c>
      <c r="K310" s="264">
        <v>18</v>
      </c>
      <c r="L310" s="264">
        <v>5</v>
      </c>
      <c r="M310" s="264">
        <v>1</v>
      </c>
      <c r="N310" s="264">
        <v>1248</v>
      </c>
      <c r="O310" s="264">
        <v>43628.798319416732</v>
      </c>
      <c r="P310" s="264">
        <v>951</v>
      </c>
      <c r="Q310" s="264">
        <v>1697</v>
      </c>
      <c r="R310" s="264">
        <v>505</v>
      </c>
      <c r="S310" s="264">
        <v>274</v>
      </c>
      <c r="T310" s="264">
        <v>1592</v>
      </c>
      <c r="U310" s="264">
        <v>795</v>
      </c>
      <c r="V310" s="264">
        <v>443</v>
      </c>
      <c r="W310" s="264">
        <v>344</v>
      </c>
      <c r="X310" s="264">
        <v>332</v>
      </c>
      <c r="Y310" s="264">
        <v>1538</v>
      </c>
      <c r="Z310" s="264">
        <v>35740883.659999996</v>
      </c>
      <c r="AA310" s="264">
        <v>87</v>
      </c>
      <c r="AB310" s="264">
        <v>217</v>
      </c>
      <c r="AC310" s="265">
        <v>427</v>
      </c>
      <c r="AD310" s="264">
        <v>113</v>
      </c>
      <c r="AE310" s="264"/>
      <c r="AF310" s="264"/>
      <c r="AG310" s="264">
        <v>1</v>
      </c>
      <c r="AH310" s="264">
        <v>1</v>
      </c>
      <c r="AI310" s="264"/>
      <c r="AJ310" s="264"/>
      <c r="AK310" s="264"/>
      <c r="AL310" s="264"/>
      <c r="AM310" s="264"/>
      <c r="AN310" s="264"/>
      <c r="AO310" s="264"/>
      <c r="AP310" s="264"/>
      <c r="AQ310" s="264"/>
      <c r="AR310" s="264"/>
      <c r="AS310" s="264"/>
      <c r="AT310" s="264"/>
      <c r="AU310" s="264"/>
      <c r="AV310" s="264"/>
      <c r="AW310" s="264"/>
      <c r="AX310" s="264"/>
      <c r="AY310" s="264"/>
    </row>
    <row r="311" spans="1:51">
      <c r="A311" s="262" t="s">
        <v>49</v>
      </c>
      <c r="B311" s="263">
        <v>4</v>
      </c>
      <c r="C311" s="262" t="s">
        <v>57</v>
      </c>
      <c r="D311" s="262" t="s">
        <v>5</v>
      </c>
      <c r="E311" s="263" t="s">
        <v>260</v>
      </c>
      <c r="F311" s="262">
        <v>2019</v>
      </c>
      <c r="G311" s="264">
        <v>1953</v>
      </c>
      <c r="H311" s="264">
        <v>758</v>
      </c>
      <c r="I311" s="264">
        <v>1195</v>
      </c>
      <c r="J311" s="264">
        <v>13383</v>
      </c>
      <c r="K311" s="264">
        <v>39</v>
      </c>
      <c r="L311" s="264">
        <v>9</v>
      </c>
      <c r="M311" s="264">
        <v>13</v>
      </c>
      <c r="N311" s="264">
        <v>1493</v>
      </c>
      <c r="O311" s="264">
        <v>48648.813757323194</v>
      </c>
      <c r="P311" s="264">
        <v>853</v>
      </c>
      <c r="Q311" s="264">
        <v>1896</v>
      </c>
      <c r="R311" s="264">
        <v>419</v>
      </c>
      <c r="S311" s="264">
        <v>350</v>
      </c>
      <c r="T311" s="264">
        <v>1719</v>
      </c>
      <c r="U311" s="264">
        <v>694</v>
      </c>
      <c r="V311" s="264">
        <v>356</v>
      </c>
      <c r="W311" s="264">
        <v>347</v>
      </c>
      <c r="X311" s="264">
        <v>320</v>
      </c>
      <c r="Y311" s="264">
        <v>1953</v>
      </c>
      <c r="Z311" s="264">
        <v>42748511.799999997</v>
      </c>
      <c r="AA311" s="264">
        <v>116</v>
      </c>
      <c r="AB311" s="264">
        <v>331</v>
      </c>
      <c r="AC311" s="265">
        <v>1651</v>
      </c>
      <c r="AD311" s="264">
        <v>210</v>
      </c>
      <c r="AE311" s="264"/>
      <c r="AF311" s="264"/>
      <c r="AG311" s="264">
        <v>2167</v>
      </c>
      <c r="AH311" s="264">
        <v>1206</v>
      </c>
      <c r="AI311" s="264"/>
      <c r="AJ311" s="264"/>
      <c r="AK311" s="264"/>
      <c r="AL311" s="264"/>
      <c r="AM311" s="264"/>
      <c r="AN311" s="264"/>
      <c r="AO311" s="264"/>
      <c r="AP311" s="264"/>
      <c r="AQ311" s="264"/>
      <c r="AR311" s="264"/>
      <c r="AS311" s="264"/>
      <c r="AT311" s="264"/>
      <c r="AU311" s="264"/>
      <c r="AV311" s="264"/>
      <c r="AW311" s="264"/>
      <c r="AX311" s="264"/>
      <c r="AY311" s="264"/>
    </row>
    <row r="312" spans="1:51">
      <c r="A312" s="262" t="s">
        <v>49</v>
      </c>
      <c r="B312" s="263">
        <v>7</v>
      </c>
      <c r="C312" s="262" t="s">
        <v>58</v>
      </c>
      <c r="D312" s="262" t="s">
        <v>6</v>
      </c>
      <c r="E312" s="263" t="s">
        <v>260</v>
      </c>
      <c r="F312" s="262">
        <v>2019</v>
      </c>
      <c r="G312" s="264">
        <v>6623</v>
      </c>
      <c r="H312" s="264">
        <v>2428</v>
      </c>
      <c r="I312" s="264">
        <v>4195</v>
      </c>
      <c r="J312" s="264">
        <v>90374</v>
      </c>
      <c r="K312" s="264">
        <v>160</v>
      </c>
      <c r="L312" s="264">
        <v>17</v>
      </c>
      <c r="M312" s="264">
        <v>51</v>
      </c>
      <c r="N312" s="264">
        <v>5608</v>
      </c>
      <c r="O312" s="264">
        <v>335802.49652896059</v>
      </c>
      <c r="P312" s="264">
        <v>2787</v>
      </c>
      <c r="Q312" s="264">
        <v>7012</v>
      </c>
      <c r="R312" s="264">
        <v>1861</v>
      </c>
      <c r="S312" s="264">
        <v>1085</v>
      </c>
      <c r="T312" s="264">
        <v>6457</v>
      </c>
      <c r="U312" s="264">
        <v>2843</v>
      </c>
      <c r="V312" s="264">
        <v>1737</v>
      </c>
      <c r="W312" s="264">
        <v>1786</v>
      </c>
      <c r="X312" s="264">
        <v>1515</v>
      </c>
      <c r="Y312" s="264">
        <v>6623</v>
      </c>
      <c r="Z312" s="264">
        <v>183695298.33000001</v>
      </c>
      <c r="AA312" s="264">
        <v>418</v>
      </c>
      <c r="AB312" s="264">
        <v>714</v>
      </c>
      <c r="AC312" s="265">
        <v>4373</v>
      </c>
      <c r="AD312" s="264">
        <v>5</v>
      </c>
      <c r="AE312" s="264"/>
      <c r="AF312" s="264"/>
      <c r="AG312" s="264">
        <v>1643</v>
      </c>
      <c r="AH312" s="264">
        <v>970</v>
      </c>
      <c r="AI312" s="264"/>
      <c r="AJ312" s="264"/>
      <c r="AK312" s="264"/>
      <c r="AL312" s="264"/>
      <c r="AM312" s="264"/>
      <c r="AN312" s="264"/>
      <c r="AO312" s="264"/>
      <c r="AP312" s="264"/>
      <c r="AQ312" s="264"/>
      <c r="AR312" s="264"/>
      <c r="AS312" s="264"/>
      <c r="AT312" s="264"/>
      <c r="AU312" s="264"/>
      <c r="AV312" s="264"/>
      <c r="AW312" s="264"/>
      <c r="AX312" s="264"/>
      <c r="AY312" s="264"/>
    </row>
    <row r="313" spans="1:51">
      <c r="A313" s="262" t="s">
        <v>49</v>
      </c>
      <c r="B313" s="263">
        <v>8</v>
      </c>
      <c r="C313" s="262" t="s">
        <v>59</v>
      </c>
      <c r="D313" s="262" t="s">
        <v>7</v>
      </c>
      <c r="E313" s="263" t="s">
        <v>260</v>
      </c>
      <c r="F313" s="262">
        <v>2019</v>
      </c>
      <c r="G313" s="264">
        <v>8863</v>
      </c>
      <c r="H313" s="264">
        <v>3750</v>
      </c>
      <c r="I313" s="264">
        <v>5113</v>
      </c>
      <c r="J313" s="264">
        <v>53608</v>
      </c>
      <c r="K313" s="264">
        <v>154</v>
      </c>
      <c r="L313" s="264">
        <v>47</v>
      </c>
      <c r="M313" s="264">
        <v>32</v>
      </c>
      <c r="N313" s="264">
        <v>7998</v>
      </c>
      <c r="O313" s="264">
        <v>204016.35908100085</v>
      </c>
      <c r="P313" s="264">
        <v>4543</v>
      </c>
      <c r="Q313" s="264">
        <v>8573</v>
      </c>
      <c r="R313" s="264">
        <v>2032</v>
      </c>
      <c r="S313" s="264">
        <v>1568</v>
      </c>
      <c r="T313" s="264">
        <v>7601</v>
      </c>
      <c r="U313" s="264">
        <v>3667</v>
      </c>
      <c r="V313" s="264">
        <v>1790</v>
      </c>
      <c r="W313" s="264">
        <v>1917</v>
      </c>
      <c r="X313" s="264">
        <v>1782</v>
      </c>
      <c r="Y313" s="264">
        <v>8863</v>
      </c>
      <c r="Z313" s="264">
        <v>174884579</v>
      </c>
      <c r="AA313" s="264">
        <v>559</v>
      </c>
      <c r="AB313" s="264">
        <v>983</v>
      </c>
      <c r="AC313" s="265">
        <v>7114</v>
      </c>
      <c r="AD313" s="264">
        <v>287</v>
      </c>
      <c r="AE313" s="264"/>
      <c r="AF313" s="264"/>
      <c r="AG313" s="264">
        <v>1495</v>
      </c>
      <c r="AH313" s="264">
        <v>1449</v>
      </c>
      <c r="AI313" s="264">
        <v>442</v>
      </c>
      <c r="AJ313" s="264"/>
      <c r="AK313" s="264"/>
      <c r="AL313" s="264"/>
      <c r="AM313" s="264"/>
      <c r="AN313" s="264"/>
      <c r="AO313" s="264"/>
      <c r="AP313" s="264"/>
      <c r="AQ313" s="264"/>
      <c r="AR313" s="264"/>
      <c r="AS313" s="264"/>
      <c r="AT313" s="264"/>
      <c r="AU313" s="264"/>
      <c r="AV313" s="264"/>
      <c r="AW313" s="264"/>
      <c r="AX313" s="264"/>
      <c r="AY313" s="264"/>
    </row>
    <row r="314" spans="1:51">
      <c r="A314" s="262" t="s">
        <v>50</v>
      </c>
      <c r="B314" s="263">
        <v>9</v>
      </c>
      <c r="C314" s="262" t="s">
        <v>84</v>
      </c>
      <c r="D314" s="262" t="s">
        <v>32</v>
      </c>
      <c r="E314" s="263" t="s">
        <v>260</v>
      </c>
      <c r="F314" s="262">
        <v>2019</v>
      </c>
      <c r="G314" s="264">
        <v>43931</v>
      </c>
      <c r="H314" s="264">
        <v>18983</v>
      </c>
      <c r="I314" s="264">
        <v>24948</v>
      </c>
      <c r="J314" s="264">
        <v>139064</v>
      </c>
      <c r="K314" s="264">
        <v>584</v>
      </c>
      <c r="L314" s="264">
        <v>136</v>
      </c>
      <c r="M314" s="264">
        <v>135</v>
      </c>
      <c r="N314" s="264">
        <v>36136</v>
      </c>
      <c r="O314" s="264">
        <v>385103.78166493616</v>
      </c>
      <c r="P314" s="264">
        <v>24489</v>
      </c>
      <c r="Q314" s="264">
        <v>44161</v>
      </c>
      <c r="R314" s="264">
        <v>9386</v>
      </c>
      <c r="S314" s="264">
        <v>11002</v>
      </c>
      <c r="T314" s="264">
        <v>36721</v>
      </c>
      <c r="U314" s="264">
        <v>19341</v>
      </c>
      <c r="V314" s="264">
        <v>7859</v>
      </c>
      <c r="W314" s="264">
        <v>7909</v>
      </c>
      <c r="X314" s="264">
        <v>5203</v>
      </c>
      <c r="Y314" s="264">
        <v>43931</v>
      </c>
      <c r="Z314" s="264">
        <v>701763917</v>
      </c>
      <c r="AA314" s="264">
        <v>2154</v>
      </c>
      <c r="AB314" s="264">
        <v>3705</v>
      </c>
      <c r="AC314" s="265">
        <v>10338</v>
      </c>
      <c r="AD314" s="264">
        <v>706</v>
      </c>
      <c r="AE314" s="264"/>
      <c r="AF314" s="264"/>
      <c r="AG314" s="264">
        <v>2918</v>
      </c>
      <c r="AH314" s="264">
        <v>2400</v>
      </c>
      <c r="AI314" s="264"/>
      <c r="AJ314" s="264"/>
      <c r="AK314" s="264"/>
      <c r="AL314" s="264"/>
      <c r="AM314" s="264"/>
      <c r="AN314" s="264"/>
      <c r="AO314" s="264"/>
      <c r="AP314" s="264"/>
      <c r="AQ314" s="264"/>
      <c r="AR314" s="264"/>
      <c r="AS314" s="264"/>
      <c r="AT314" s="264"/>
      <c r="AU314" s="264"/>
      <c r="AV314" s="264"/>
      <c r="AW314" s="264"/>
      <c r="AX314" s="264"/>
      <c r="AY314" s="264"/>
    </row>
    <row r="315" spans="1:51">
      <c r="A315" s="262" t="s">
        <v>49</v>
      </c>
      <c r="B315" s="263">
        <v>5</v>
      </c>
      <c r="C315" s="262" t="s">
        <v>60</v>
      </c>
      <c r="D315" s="262" t="s">
        <v>31</v>
      </c>
      <c r="E315" s="263" t="s">
        <v>260</v>
      </c>
      <c r="F315" s="262">
        <v>2019</v>
      </c>
      <c r="G315" s="264">
        <v>10427</v>
      </c>
      <c r="H315" s="264">
        <v>3726</v>
      </c>
      <c r="I315" s="264">
        <v>6701</v>
      </c>
      <c r="J315" s="264">
        <v>47544</v>
      </c>
      <c r="K315" s="264">
        <v>134</v>
      </c>
      <c r="L315" s="264">
        <v>45</v>
      </c>
      <c r="M315" s="264">
        <v>37</v>
      </c>
      <c r="N315" s="264">
        <v>9107</v>
      </c>
      <c r="O315" s="264">
        <v>162883.98811697579</v>
      </c>
      <c r="P315" s="264">
        <v>4645</v>
      </c>
      <c r="Q315" s="264">
        <v>10398</v>
      </c>
      <c r="R315" s="264">
        <v>2553</v>
      </c>
      <c r="S315" s="264">
        <v>1019</v>
      </c>
      <c r="T315" s="264">
        <v>9757</v>
      </c>
      <c r="U315" s="264">
        <v>3694</v>
      </c>
      <c r="V315" s="264">
        <v>2399</v>
      </c>
      <c r="W315" s="264">
        <v>2500</v>
      </c>
      <c r="X315" s="264">
        <v>2496</v>
      </c>
      <c r="Y315" s="264">
        <v>10427</v>
      </c>
      <c r="Z315" s="264">
        <v>154967201.58000001</v>
      </c>
      <c r="AA315" s="264">
        <v>427</v>
      </c>
      <c r="AB315" s="264">
        <v>1141</v>
      </c>
      <c r="AC315" s="265">
        <v>3782</v>
      </c>
      <c r="AD315" s="264">
        <v>97</v>
      </c>
      <c r="AE315" s="264"/>
      <c r="AF315" s="264"/>
      <c r="AG315" s="264">
        <v>703</v>
      </c>
      <c r="AH315" s="264">
        <v>468</v>
      </c>
      <c r="AI315" s="264"/>
      <c r="AJ315" s="264"/>
      <c r="AK315" s="264"/>
      <c r="AL315" s="264"/>
      <c r="AM315" s="264"/>
      <c r="AN315" s="264"/>
      <c r="AO315" s="264"/>
      <c r="AP315" s="264"/>
      <c r="AQ315" s="264"/>
      <c r="AR315" s="264"/>
      <c r="AS315" s="264"/>
      <c r="AT315" s="264"/>
      <c r="AU315" s="264"/>
      <c r="AV315" s="264"/>
      <c r="AW315" s="264"/>
      <c r="AX315" s="264"/>
      <c r="AY315" s="264"/>
    </row>
    <row r="316" spans="1:51">
      <c r="A316" s="262" t="s">
        <v>49</v>
      </c>
      <c r="B316" s="263">
        <v>6</v>
      </c>
      <c r="C316" s="262" t="s">
        <v>61</v>
      </c>
      <c r="D316" s="262" t="s">
        <v>8</v>
      </c>
      <c r="E316" s="263" t="s">
        <v>260</v>
      </c>
      <c r="F316" s="262">
        <v>2019</v>
      </c>
      <c r="G316" s="264">
        <v>1934</v>
      </c>
      <c r="H316" s="264">
        <v>773</v>
      </c>
      <c r="I316" s="264">
        <v>1161</v>
      </c>
      <c r="J316" s="264">
        <v>11054</v>
      </c>
      <c r="K316" s="264">
        <v>47</v>
      </c>
      <c r="L316" s="264">
        <v>6</v>
      </c>
      <c r="M316" s="264">
        <v>11</v>
      </c>
      <c r="N316" s="264">
        <v>1270</v>
      </c>
      <c r="O316" s="264">
        <v>38915.402748821303</v>
      </c>
      <c r="P316" s="264">
        <v>864</v>
      </c>
      <c r="Q316" s="264">
        <v>1891</v>
      </c>
      <c r="R316" s="264">
        <v>431</v>
      </c>
      <c r="S316" s="264">
        <v>414</v>
      </c>
      <c r="T316" s="264">
        <v>1679</v>
      </c>
      <c r="U316" s="264">
        <v>861</v>
      </c>
      <c r="V316" s="264">
        <v>349</v>
      </c>
      <c r="W316" s="264">
        <v>343</v>
      </c>
      <c r="X316" s="264">
        <v>332</v>
      </c>
      <c r="Y316" s="264">
        <v>1934</v>
      </c>
      <c r="Z316" s="264">
        <v>43224096.950000003</v>
      </c>
      <c r="AA316" s="264">
        <v>111</v>
      </c>
      <c r="AB316" s="264">
        <v>320</v>
      </c>
      <c r="AC316" s="265">
        <v>1068</v>
      </c>
      <c r="AD316" s="264">
        <v>51</v>
      </c>
      <c r="AE316" s="264"/>
      <c r="AF316" s="264"/>
      <c r="AG316" s="264">
        <v>512</v>
      </c>
      <c r="AH316" s="264">
        <v>341</v>
      </c>
      <c r="AI316" s="264"/>
      <c r="AJ316" s="264"/>
      <c r="AK316" s="264"/>
      <c r="AL316" s="264"/>
      <c r="AM316" s="264"/>
      <c r="AN316" s="264"/>
      <c r="AO316" s="264"/>
      <c r="AP316" s="264"/>
      <c r="AQ316" s="264"/>
      <c r="AR316" s="264"/>
      <c r="AS316" s="264"/>
      <c r="AT316" s="264"/>
      <c r="AU316" s="264"/>
      <c r="AV316" s="264"/>
      <c r="AW316" s="264"/>
      <c r="AX316" s="264"/>
      <c r="AY316" s="264"/>
    </row>
    <row r="317" spans="1:51">
      <c r="A317" s="262" t="s">
        <v>49</v>
      </c>
      <c r="B317" s="263">
        <v>10</v>
      </c>
      <c r="C317" s="262" t="s">
        <v>62</v>
      </c>
      <c r="D317" s="262" t="s">
        <v>9</v>
      </c>
      <c r="E317" s="263" t="s">
        <v>260</v>
      </c>
      <c r="F317" s="262">
        <v>2019</v>
      </c>
      <c r="G317" s="264">
        <v>1888</v>
      </c>
      <c r="H317" s="264">
        <v>716</v>
      </c>
      <c r="I317" s="264">
        <v>1172</v>
      </c>
      <c r="J317" s="264">
        <v>27183</v>
      </c>
      <c r="K317" s="264">
        <v>51</v>
      </c>
      <c r="L317" s="264">
        <v>19</v>
      </c>
      <c r="M317" s="264">
        <v>10</v>
      </c>
      <c r="N317" s="264">
        <v>1537</v>
      </c>
      <c r="O317" s="264">
        <v>101264.61839162641</v>
      </c>
      <c r="P317" s="264">
        <v>796</v>
      </c>
      <c r="Q317" s="264">
        <v>1930</v>
      </c>
      <c r="R317" s="264">
        <v>366</v>
      </c>
      <c r="S317" s="264">
        <v>424</v>
      </c>
      <c r="T317" s="264">
        <v>1643</v>
      </c>
      <c r="U317" s="264">
        <v>853</v>
      </c>
      <c r="V317" s="264">
        <v>325</v>
      </c>
      <c r="W317" s="264">
        <v>360</v>
      </c>
      <c r="X317" s="264">
        <v>213</v>
      </c>
      <c r="Y317" s="264">
        <v>1888</v>
      </c>
      <c r="Z317" s="264">
        <v>42371782.68</v>
      </c>
      <c r="AA317" s="264">
        <v>155</v>
      </c>
      <c r="AB317" s="264">
        <v>260</v>
      </c>
      <c r="AC317" s="265">
        <v>3862</v>
      </c>
      <c r="AD317" s="264">
        <v>95</v>
      </c>
      <c r="AE317" s="264"/>
      <c r="AF317" s="264"/>
      <c r="AG317" s="264">
        <v>182</v>
      </c>
      <c r="AH317" s="264">
        <v>139</v>
      </c>
      <c r="AI317" s="264"/>
      <c r="AJ317" s="264"/>
      <c r="AK317" s="264"/>
      <c r="AL317" s="264"/>
      <c r="AM317" s="264"/>
      <c r="AN317" s="264"/>
      <c r="AO317" s="264"/>
      <c r="AP317" s="264"/>
      <c r="AQ317" s="264"/>
      <c r="AR317" s="264"/>
      <c r="AS317" s="264"/>
      <c r="AT317" s="264"/>
      <c r="AU317" s="264"/>
      <c r="AV317" s="264"/>
      <c r="AW317" s="264"/>
      <c r="AX317" s="264"/>
      <c r="AY317" s="264"/>
    </row>
    <row r="318" spans="1:51">
      <c r="A318" s="262" t="s">
        <v>49</v>
      </c>
      <c r="B318" s="263">
        <v>11</v>
      </c>
      <c r="C318" s="262" t="s">
        <v>63</v>
      </c>
      <c r="D318" s="262" t="s">
        <v>10</v>
      </c>
      <c r="E318" s="263" t="s">
        <v>260</v>
      </c>
      <c r="F318" s="262">
        <v>2019</v>
      </c>
      <c r="G318" s="264">
        <v>18159</v>
      </c>
      <c r="H318" s="264">
        <v>6879</v>
      </c>
      <c r="I318" s="264">
        <v>11280</v>
      </c>
      <c r="J318" s="264">
        <v>99785</v>
      </c>
      <c r="K318" s="264">
        <v>308</v>
      </c>
      <c r="L318" s="264">
        <v>90</v>
      </c>
      <c r="M318" s="264">
        <v>82</v>
      </c>
      <c r="N318" s="264">
        <v>15394</v>
      </c>
      <c r="O318" s="264">
        <v>334756.67082686559</v>
      </c>
      <c r="P318" s="264">
        <v>8281</v>
      </c>
      <c r="Q318" s="264">
        <v>18132</v>
      </c>
      <c r="R318" s="264">
        <v>4803</v>
      </c>
      <c r="S318" s="264">
        <v>2813</v>
      </c>
      <c r="T318" s="264">
        <v>16748</v>
      </c>
      <c r="U318" s="264">
        <v>7056</v>
      </c>
      <c r="V318" s="264">
        <v>4547</v>
      </c>
      <c r="W318" s="264">
        <v>4130</v>
      </c>
      <c r="X318" s="264">
        <v>3923</v>
      </c>
      <c r="Y318" s="264">
        <v>18159</v>
      </c>
      <c r="Z318" s="264">
        <v>269451908.74000001</v>
      </c>
      <c r="AA318" s="264">
        <v>856</v>
      </c>
      <c r="AB318" s="264">
        <v>2187</v>
      </c>
      <c r="AC318" s="265">
        <v>2782</v>
      </c>
      <c r="AD318" s="264">
        <v>579</v>
      </c>
      <c r="AE318" s="264"/>
      <c r="AF318" s="264"/>
      <c r="AG318" s="264">
        <v>2447</v>
      </c>
      <c r="AH318" s="264">
        <v>2222</v>
      </c>
      <c r="AI318" s="264">
        <v>13361</v>
      </c>
      <c r="AJ318" s="264"/>
      <c r="AK318" s="264"/>
      <c r="AL318" s="264"/>
      <c r="AM318" s="264"/>
      <c r="AN318" s="264"/>
      <c r="AO318" s="264"/>
      <c r="AP318" s="264"/>
      <c r="AQ318" s="264"/>
      <c r="AR318" s="264"/>
      <c r="AS318" s="264"/>
      <c r="AT318" s="264"/>
      <c r="AU318" s="264"/>
      <c r="AV318" s="264"/>
      <c r="AW318" s="264"/>
      <c r="AX318" s="264"/>
      <c r="AY318" s="264"/>
    </row>
    <row r="319" spans="1:51">
      <c r="A319" s="262" t="s">
        <v>49</v>
      </c>
      <c r="B319" s="263">
        <v>12</v>
      </c>
      <c r="C319" s="262" t="s">
        <v>64</v>
      </c>
      <c r="D319" s="262" t="s">
        <v>11</v>
      </c>
      <c r="E319" s="263" t="s">
        <v>260</v>
      </c>
      <c r="F319" s="262">
        <v>2019</v>
      </c>
      <c r="G319" s="264">
        <v>6068</v>
      </c>
      <c r="H319" s="264">
        <v>2417</v>
      </c>
      <c r="I319" s="264">
        <v>3651</v>
      </c>
      <c r="J319" s="264">
        <v>60714</v>
      </c>
      <c r="K319" s="264">
        <v>134</v>
      </c>
      <c r="L319" s="264">
        <v>26</v>
      </c>
      <c r="M319" s="264">
        <v>41</v>
      </c>
      <c r="N319" s="264">
        <v>5092</v>
      </c>
      <c r="O319" s="264">
        <v>217567.81668356401</v>
      </c>
      <c r="P319" s="264">
        <v>3098</v>
      </c>
      <c r="Q319" s="264">
        <v>6134</v>
      </c>
      <c r="R319" s="264">
        <v>1485</v>
      </c>
      <c r="S319" s="264">
        <v>1332</v>
      </c>
      <c r="T319" s="264">
        <v>5539</v>
      </c>
      <c r="U319" s="264">
        <v>2388</v>
      </c>
      <c r="V319" s="264">
        <v>1372</v>
      </c>
      <c r="W319" s="264">
        <v>1375</v>
      </c>
      <c r="X319" s="264">
        <v>986</v>
      </c>
      <c r="Y319" s="264">
        <v>6068</v>
      </c>
      <c r="Z319" s="264">
        <v>149018016</v>
      </c>
      <c r="AA319" s="264">
        <v>302</v>
      </c>
      <c r="AB319" s="264">
        <v>719</v>
      </c>
      <c r="AC319" s="265">
        <v>14643</v>
      </c>
      <c r="AD319" s="264">
        <v>1315</v>
      </c>
      <c r="AE319" s="264"/>
      <c r="AF319" s="264"/>
      <c r="AG319" s="264">
        <v>1633</v>
      </c>
      <c r="AH319" s="264">
        <v>1392</v>
      </c>
      <c r="AI319" s="264"/>
      <c r="AJ319" s="264"/>
      <c r="AK319" s="264"/>
      <c r="AL319" s="264"/>
      <c r="AM319" s="264"/>
      <c r="AN319" s="264"/>
      <c r="AO319" s="264"/>
      <c r="AP319" s="264"/>
      <c r="AQ319" s="264"/>
      <c r="AR319" s="264"/>
      <c r="AS319" s="264"/>
      <c r="AT319" s="264"/>
      <c r="AU319" s="264"/>
      <c r="AV319" s="264"/>
      <c r="AW319" s="264"/>
      <c r="AX319" s="264"/>
      <c r="AY319" s="264"/>
    </row>
    <row r="320" spans="1:51">
      <c r="A320" s="262" t="s">
        <v>49</v>
      </c>
      <c r="B320" s="263">
        <v>13</v>
      </c>
      <c r="C320" s="262" t="s">
        <v>65</v>
      </c>
      <c r="D320" s="262" t="s">
        <v>12</v>
      </c>
      <c r="E320" s="263" t="s">
        <v>260</v>
      </c>
      <c r="F320" s="262">
        <v>2019</v>
      </c>
      <c r="G320" s="264">
        <v>3685</v>
      </c>
      <c r="H320" s="264">
        <v>1520</v>
      </c>
      <c r="I320" s="264">
        <v>2165</v>
      </c>
      <c r="J320" s="264">
        <v>54211</v>
      </c>
      <c r="K320" s="264">
        <v>72</v>
      </c>
      <c r="L320" s="264">
        <v>37</v>
      </c>
      <c r="M320" s="264">
        <v>17</v>
      </c>
      <c r="N320" s="264">
        <v>3289</v>
      </c>
      <c r="O320" s="264">
        <v>162292.16634456621</v>
      </c>
      <c r="P320" s="264">
        <v>1784</v>
      </c>
      <c r="Q320" s="264">
        <v>3519</v>
      </c>
      <c r="R320" s="264">
        <v>921</v>
      </c>
      <c r="S320" s="264">
        <v>367</v>
      </c>
      <c r="T320" s="264">
        <v>3232</v>
      </c>
      <c r="U320" s="264">
        <v>1609</v>
      </c>
      <c r="V320" s="264">
        <v>819</v>
      </c>
      <c r="W320" s="264">
        <v>835</v>
      </c>
      <c r="X320" s="264">
        <v>824</v>
      </c>
      <c r="Y320" s="264">
        <v>3685</v>
      </c>
      <c r="Z320" s="264">
        <v>66211880.299999997</v>
      </c>
      <c r="AA320" s="264">
        <v>200</v>
      </c>
      <c r="AB320" s="264">
        <v>428</v>
      </c>
      <c r="AC320" s="265">
        <v>190</v>
      </c>
      <c r="AD320" s="264">
        <v>482</v>
      </c>
      <c r="AE320" s="264"/>
      <c r="AF320" s="264"/>
      <c r="AG320" s="264">
        <v>603</v>
      </c>
      <c r="AH320" s="264">
        <v>391</v>
      </c>
      <c r="AI320" s="264"/>
      <c r="AJ320" s="264"/>
      <c r="AK320" s="264"/>
      <c r="AL320" s="264"/>
      <c r="AM320" s="264"/>
      <c r="AN320" s="264"/>
      <c r="AO320" s="264"/>
      <c r="AP320" s="264"/>
      <c r="AQ320" s="264"/>
      <c r="AR320" s="264"/>
      <c r="AS320" s="264"/>
      <c r="AT320" s="264"/>
      <c r="AU320" s="264"/>
      <c r="AV320" s="264"/>
      <c r="AW320" s="264"/>
      <c r="AX320" s="264"/>
      <c r="AY320" s="264"/>
    </row>
    <row r="321" spans="1:51">
      <c r="A321" s="262" t="s">
        <v>49</v>
      </c>
      <c r="B321" s="263">
        <v>14</v>
      </c>
      <c r="C321" s="262" t="s">
        <v>66</v>
      </c>
      <c r="D321" s="262" t="s">
        <v>13</v>
      </c>
      <c r="E321" s="263" t="s">
        <v>260</v>
      </c>
      <c r="F321" s="262">
        <v>2019</v>
      </c>
      <c r="G321" s="264">
        <v>13794</v>
      </c>
      <c r="H321" s="264">
        <v>5317</v>
      </c>
      <c r="I321" s="264">
        <v>8477</v>
      </c>
      <c r="J321" s="264">
        <v>124772</v>
      </c>
      <c r="K321" s="264">
        <v>273</v>
      </c>
      <c r="L321" s="264">
        <v>38</v>
      </c>
      <c r="M321" s="264">
        <v>64</v>
      </c>
      <c r="N321" s="264">
        <v>11462</v>
      </c>
      <c r="O321" s="264">
        <v>434646.30167465768</v>
      </c>
      <c r="P321" s="264">
        <v>5534</v>
      </c>
      <c r="Q321" s="264">
        <v>14341</v>
      </c>
      <c r="R321" s="264">
        <v>3353</v>
      </c>
      <c r="S321" s="264">
        <v>2705</v>
      </c>
      <c r="T321" s="264">
        <v>12822</v>
      </c>
      <c r="U321" s="264">
        <v>5788</v>
      </c>
      <c r="V321" s="264">
        <v>3037</v>
      </c>
      <c r="W321" s="264">
        <v>3056</v>
      </c>
      <c r="X321" s="264">
        <v>2655</v>
      </c>
      <c r="Y321" s="264">
        <v>13794</v>
      </c>
      <c r="Z321" s="264">
        <v>272811487.19999999</v>
      </c>
      <c r="AA321" s="264">
        <v>801</v>
      </c>
      <c r="AB321" s="264">
        <v>2084</v>
      </c>
      <c r="AC321" s="265">
        <v>12326</v>
      </c>
      <c r="AD321" s="264">
        <v>472</v>
      </c>
      <c r="AE321" s="264"/>
      <c r="AF321" s="264"/>
      <c r="AG321" s="264">
        <v>977</v>
      </c>
      <c r="AH321" s="264">
        <v>503</v>
      </c>
      <c r="AI321" s="264">
        <v>775</v>
      </c>
      <c r="AJ321" s="264"/>
      <c r="AK321" s="264"/>
      <c r="AL321" s="264"/>
      <c r="AM321" s="264"/>
      <c r="AN321" s="264"/>
      <c r="AO321" s="264"/>
      <c r="AP321" s="264"/>
      <c r="AQ321" s="264"/>
      <c r="AR321" s="264"/>
      <c r="AS321" s="264"/>
      <c r="AT321" s="264"/>
      <c r="AU321" s="264"/>
      <c r="AV321" s="264"/>
      <c r="AW321" s="264"/>
      <c r="AX321" s="264"/>
      <c r="AY321" s="264"/>
    </row>
    <row r="322" spans="1:51">
      <c r="A322" s="262" t="s">
        <v>49</v>
      </c>
      <c r="B322" s="263">
        <v>15</v>
      </c>
      <c r="C322" s="262" t="s">
        <v>67</v>
      </c>
      <c r="D322" s="262" t="s">
        <v>14</v>
      </c>
      <c r="E322" s="263" t="s">
        <v>260</v>
      </c>
      <c r="F322" s="262">
        <v>2019</v>
      </c>
      <c r="G322" s="264">
        <v>47114</v>
      </c>
      <c r="H322" s="264">
        <v>18923</v>
      </c>
      <c r="I322" s="264">
        <v>28191</v>
      </c>
      <c r="J322" s="264">
        <v>280156</v>
      </c>
      <c r="K322" s="264">
        <v>794</v>
      </c>
      <c r="L322" s="264">
        <v>186</v>
      </c>
      <c r="M322" s="264">
        <v>203</v>
      </c>
      <c r="N322" s="264">
        <v>41549</v>
      </c>
      <c r="O322" s="264">
        <v>917185.11715291278</v>
      </c>
      <c r="P322" s="264">
        <v>19067</v>
      </c>
      <c r="Q322" s="264">
        <v>47926</v>
      </c>
      <c r="R322" s="264">
        <v>11672</v>
      </c>
      <c r="S322" s="264">
        <v>6714</v>
      </c>
      <c r="T322" s="264">
        <v>42339</v>
      </c>
      <c r="U322" s="264">
        <v>20110</v>
      </c>
      <c r="V322" s="264">
        <v>10113</v>
      </c>
      <c r="W322" s="264">
        <v>9450</v>
      </c>
      <c r="X322" s="264">
        <v>7610</v>
      </c>
      <c r="Y322" s="264">
        <v>47114</v>
      </c>
      <c r="Z322" s="264">
        <v>783329252.73000002</v>
      </c>
      <c r="AA322" s="264">
        <v>2210</v>
      </c>
      <c r="AB322" s="264">
        <v>4445</v>
      </c>
      <c r="AC322" s="265">
        <v>7749</v>
      </c>
      <c r="AD322" s="264">
        <v>1012</v>
      </c>
      <c r="AE322" s="264"/>
      <c r="AF322" s="264"/>
      <c r="AG322" s="264">
        <v>66599</v>
      </c>
      <c r="AH322" s="264">
        <v>53013</v>
      </c>
      <c r="AI322" s="264">
        <v>1125</v>
      </c>
      <c r="AJ322" s="264"/>
      <c r="AK322" s="264"/>
      <c r="AL322" s="264"/>
      <c r="AM322" s="264"/>
      <c r="AN322" s="264"/>
      <c r="AO322" s="264"/>
      <c r="AP322" s="264"/>
      <c r="AQ322" s="264"/>
      <c r="AR322" s="264"/>
      <c r="AS322" s="264"/>
      <c r="AT322" s="264"/>
      <c r="AU322" s="264"/>
      <c r="AV322" s="264"/>
      <c r="AW322" s="264"/>
      <c r="AX322" s="264"/>
      <c r="AY322" s="264"/>
    </row>
    <row r="323" spans="1:51">
      <c r="A323" s="262" t="s">
        <v>49</v>
      </c>
      <c r="B323" s="263">
        <v>16</v>
      </c>
      <c r="C323" s="262" t="s">
        <v>68</v>
      </c>
      <c r="D323" s="262" t="s">
        <v>30</v>
      </c>
      <c r="E323" s="263" t="s">
        <v>260</v>
      </c>
      <c r="F323" s="262">
        <v>2019</v>
      </c>
      <c r="G323" s="264">
        <v>11091</v>
      </c>
      <c r="H323" s="264">
        <v>4436</v>
      </c>
      <c r="I323" s="264">
        <v>6655</v>
      </c>
      <c r="J323" s="264">
        <v>64175</v>
      </c>
      <c r="K323" s="264">
        <v>244</v>
      </c>
      <c r="L323" s="264">
        <v>53</v>
      </c>
      <c r="M323" s="264">
        <v>67</v>
      </c>
      <c r="N323" s="264">
        <v>9518</v>
      </c>
      <c r="O323" s="264">
        <v>254892.05728257031</v>
      </c>
      <c r="P323" s="264">
        <v>5167</v>
      </c>
      <c r="Q323" s="264">
        <v>11087</v>
      </c>
      <c r="R323" s="264">
        <v>2808</v>
      </c>
      <c r="S323" s="264">
        <v>853</v>
      </c>
      <c r="T323" s="264">
        <v>10005</v>
      </c>
      <c r="U323" s="264">
        <v>4617</v>
      </c>
      <c r="V323" s="264">
        <v>2470</v>
      </c>
      <c r="W323" s="264">
        <v>2319</v>
      </c>
      <c r="X323" s="264">
        <v>2085</v>
      </c>
      <c r="Y323" s="264">
        <v>11091</v>
      </c>
      <c r="Z323" s="264">
        <v>213282774.47999999</v>
      </c>
      <c r="AA323" s="264">
        <v>448</v>
      </c>
      <c r="AB323" s="264">
        <v>1204</v>
      </c>
      <c r="AC323" s="265">
        <v>2404</v>
      </c>
      <c r="AD323" s="264">
        <v>409</v>
      </c>
      <c r="AE323" s="264"/>
      <c r="AF323" s="264"/>
      <c r="AG323" s="264">
        <v>20137</v>
      </c>
      <c r="AH323" s="264">
        <v>15671</v>
      </c>
      <c r="AI323" s="264"/>
      <c r="AJ323" s="264"/>
      <c r="AK323" s="264"/>
      <c r="AL323" s="264"/>
      <c r="AM323" s="264"/>
      <c r="AN323" s="264"/>
      <c r="AO323" s="264"/>
      <c r="AP323" s="264"/>
      <c r="AQ323" s="264"/>
      <c r="AR323" s="264"/>
      <c r="AS323" s="264"/>
      <c r="AT323" s="264"/>
      <c r="AU323" s="264"/>
      <c r="AV323" s="264"/>
      <c r="AW323" s="264"/>
      <c r="AX323" s="264"/>
      <c r="AY323" s="264"/>
    </row>
    <row r="324" spans="1:51">
      <c r="A324" s="262" t="s">
        <v>49</v>
      </c>
      <c r="B324" s="263">
        <v>17</v>
      </c>
      <c r="C324" s="262" t="s">
        <v>69</v>
      </c>
      <c r="D324" s="262" t="s">
        <v>15</v>
      </c>
      <c r="E324" s="263" t="s">
        <v>260</v>
      </c>
      <c r="F324" s="262">
        <v>2019</v>
      </c>
      <c r="G324" s="264">
        <v>4522</v>
      </c>
      <c r="H324" s="264">
        <v>1884</v>
      </c>
      <c r="I324" s="264">
        <v>2638</v>
      </c>
      <c r="J324" s="264">
        <v>30548</v>
      </c>
      <c r="K324" s="264">
        <v>74</v>
      </c>
      <c r="L324" s="264">
        <v>17</v>
      </c>
      <c r="M324" s="264">
        <v>13</v>
      </c>
      <c r="N324" s="264">
        <v>3912</v>
      </c>
      <c r="O324" s="264">
        <v>101251.61672845934</v>
      </c>
      <c r="P324" s="264">
        <v>2142</v>
      </c>
      <c r="Q324" s="264">
        <v>4640</v>
      </c>
      <c r="R324" s="264">
        <v>1168</v>
      </c>
      <c r="S324" s="264">
        <v>814</v>
      </c>
      <c r="T324" s="264">
        <v>4002</v>
      </c>
      <c r="U324" s="264">
        <v>2007</v>
      </c>
      <c r="V324" s="264">
        <v>1085</v>
      </c>
      <c r="W324" s="264">
        <v>1036</v>
      </c>
      <c r="X324" s="264">
        <v>943</v>
      </c>
      <c r="Y324" s="264">
        <v>4522</v>
      </c>
      <c r="Z324" s="264">
        <v>72497492.840000004</v>
      </c>
      <c r="AA324" s="264">
        <v>237</v>
      </c>
      <c r="AB324" s="264">
        <v>532</v>
      </c>
      <c r="AC324" s="265">
        <v>943</v>
      </c>
      <c r="AD324" s="264">
        <v>333</v>
      </c>
      <c r="AE324" s="264"/>
      <c r="AF324" s="264"/>
      <c r="AG324" s="264">
        <v>1410</v>
      </c>
      <c r="AH324" s="264">
        <v>1116</v>
      </c>
      <c r="AI324" s="264"/>
      <c r="AJ324" s="264"/>
      <c r="AK324" s="264"/>
      <c r="AL324" s="264"/>
      <c r="AM324" s="264"/>
      <c r="AN324" s="264"/>
      <c r="AO324" s="264"/>
      <c r="AP324" s="264"/>
      <c r="AQ324" s="264"/>
      <c r="AR324" s="264"/>
      <c r="AS324" s="264"/>
      <c r="AT324" s="264"/>
      <c r="AU324" s="264"/>
      <c r="AV324" s="264"/>
      <c r="AW324" s="264"/>
      <c r="AX324" s="264"/>
      <c r="AY324" s="264"/>
    </row>
    <row r="325" spans="1:51">
      <c r="A325" s="262" t="s">
        <v>49</v>
      </c>
      <c r="B325" s="263">
        <v>18</v>
      </c>
      <c r="C325" s="262" t="s">
        <v>70</v>
      </c>
      <c r="D325" s="262" t="s">
        <v>16</v>
      </c>
      <c r="E325" s="263" t="s">
        <v>260</v>
      </c>
      <c r="F325" s="262">
        <v>2019</v>
      </c>
      <c r="G325" s="264">
        <v>2934</v>
      </c>
      <c r="H325" s="264">
        <v>1353</v>
      </c>
      <c r="I325" s="264">
        <v>1581</v>
      </c>
      <c r="J325" s="264">
        <v>18423</v>
      </c>
      <c r="K325" s="264">
        <v>59</v>
      </c>
      <c r="L325" s="264">
        <v>10</v>
      </c>
      <c r="M325" s="264">
        <v>14</v>
      </c>
      <c r="N325" s="264">
        <v>2710</v>
      </c>
      <c r="O325" s="264">
        <v>68701.514859885981</v>
      </c>
      <c r="P325" s="264">
        <v>1551</v>
      </c>
      <c r="Q325" s="264">
        <v>2794</v>
      </c>
      <c r="R325" s="264">
        <v>733</v>
      </c>
      <c r="S325" s="264">
        <v>725</v>
      </c>
      <c r="T325" s="264">
        <v>2483</v>
      </c>
      <c r="U325" s="264">
        <v>1407</v>
      </c>
      <c r="V325" s="264">
        <v>682</v>
      </c>
      <c r="W325" s="264">
        <v>630</v>
      </c>
      <c r="X325" s="264">
        <v>489</v>
      </c>
      <c r="Y325" s="264">
        <v>2934</v>
      </c>
      <c r="Z325" s="264">
        <v>54483944.060000002</v>
      </c>
      <c r="AA325" s="264">
        <v>145</v>
      </c>
      <c r="AB325" s="264">
        <v>361</v>
      </c>
      <c r="AC325" s="265">
        <v>1124</v>
      </c>
      <c r="AD325" s="264">
        <v>169</v>
      </c>
      <c r="AE325" s="264"/>
      <c r="AF325" s="264"/>
      <c r="AG325" s="264">
        <v>1132</v>
      </c>
      <c r="AH325" s="264">
        <v>248</v>
      </c>
      <c r="AI325" s="264"/>
      <c r="AJ325" s="264"/>
      <c r="AK325" s="264"/>
      <c r="AL325" s="264"/>
      <c r="AM325" s="264"/>
      <c r="AN325" s="264"/>
      <c r="AO325" s="264"/>
      <c r="AP325" s="264"/>
      <c r="AQ325" s="264"/>
      <c r="AR325" s="264"/>
      <c r="AS325" s="264"/>
      <c r="AT325" s="264"/>
      <c r="AU325" s="264"/>
      <c r="AV325" s="264"/>
      <c r="AW325" s="264"/>
      <c r="AX325" s="264"/>
      <c r="AY325" s="264"/>
    </row>
    <row r="326" spans="1:51">
      <c r="A326" s="262" t="s">
        <v>49</v>
      </c>
      <c r="B326" s="263">
        <v>19</v>
      </c>
      <c r="C326" s="262" t="s">
        <v>71</v>
      </c>
      <c r="D326" s="262" t="s">
        <v>17</v>
      </c>
      <c r="E326" s="263" t="s">
        <v>260</v>
      </c>
      <c r="F326" s="262">
        <v>2019</v>
      </c>
      <c r="G326" s="264">
        <v>22276</v>
      </c>
      <c r="H326" s="264">
        <v>8832</v>
      </c>
      <c r="I326" s="264">
        <v>13444</v>
      </c>
      <c r="J326" s="264">
        <v>81990</v>
      </c>
      <c r="K326" s="264">
        <v>298</v>
      </c>
      <c r="L326" s="264">
        <v>78</v>
      </c>
      <c r="M326" s="264">
        <v>81</v>
      </c>
      <c r="N326" s="264">
        <v>18601</v>
      </c>
      <c r="O326" s="264">
        <v>268208.24172764656</v>
      </c>
      <c r="P326" s="264">
        <v>9716</v>
      </c>
      <c r="Q326" s="264">
        <v>21326</v>
      </c>
      <c r="R326" s="264">
        <v>5449</v>
      </c>
      <c r="S326" s="264">
        <v>3224</v>
      </c>
      <c r="T326" s="264">
        <v>19850</v>
      </c>
      <c r="U326" s="264">
        <v>9082</v>
      </c>
      <c r="V326" s="264">
        <v>5075</v>
      </c>
      <c r="W326" s="264">
        <v>4378</v>
      </c>
      <c r="X326" s="264">
        <v>4262</v>
      </c>
      <c r="Y326" s="264">
        <v>22276</v>
      </c>
      <c r="Z326" s="264">
        <v>249979097.05000001</v>
      </c>
      <c r="AA326" s="264">
        <v>1043</v>
      </c>
      <c r="AB326" s="264">
        <v>1549</v>
      </c>
      <c r="AC326" s="265">
        <v>29494</v>
      </c>
      <c r="AD326" s="264">
        <v>2353</v>
      </c>
      <c r="AE326" s="264"/>
      <c r="AF326" s="264"/>
      <c r="AG326" s="264">
        <v>101712</v>
      </c>
      <c r="AH326" s="264">
        <v>71574</v>
      </c>
      <c r="AI326" s="264">
        <v>860</v>
      </c>
      <c r="AJ326" s="264"/>
      <c r="AK326" s="264"/>
      <c r="AL326" s="264"/>
      <c r="AM326" s="264"/>
      <c r="AN326" s="264"/>
      <c r="AO326" s="264"/>
      <c r="AP326" s="264"/>
      <c r="AQ326" s="264"/>
      <c r="AR326" s="264"/>
      <c r="AS326" s="264"/>
      <c r="AT326" s="264"/>
      <c r="AU326" s="264"/>
      <c r="AV326" s="264"/>
      <c r="AW326" s="264"/>
      <c r="AX326" s="264"/>
      <c r="AY326" s="264"/>
    </row>
    <row r="327" spans="1:51">
      <c r="A327" s="262" t="s">
        <v>50</v>
      </c>
      <c r="B327" s="263">
        <v>20</v>
      </c>
      <c r="C327" s="262" t="s">
        <v>85</v>
      </c>
      <c r="D327" s="262" t="s">
        <v>28</v>
      </c>
      <c r="E327" s="263" t="s">
        <v>260</v>
      </c>
      <c r="F327" s="262">
        <v>2019</v>
      </c>
      <c r="G327" s="264">
        <v>6300</v>
      </c>
      <c r="H327" s="264">
        <v>2674</v>
      </c>
      <c r="I327" s="264">
        <v>3626</v>
      </c>
      <c r="J327" s="264">
        <v>61455</v>
      </c>
      <c r="K327" s="264">
        <v>121</v>
      </c>
      <c r="L327" s="264">
        <v>24</v>
      </c>
      <c r="M327" s="264">
        <v>31</v>
      </c>
      <c r="N327" s="264">
        <v>5426</v>
      </c>
      <c r="O327" s="264">
        <v>232464.04622382502</v>
      </c>
      <c r="P327" s="264">
        <v>3224</v>
      </c>
      <c r="Q327" s="264">
        <v>6115</v>
      </c>
      <c r="R327" s="264">
        <v>1582</v>
      </c>
      <c r="S327" s="264">
        <v>1183</v>
      </c>
      <c r="T327" s="264">
        <v>5553</v>
      </c>
      <c r="U327" s="264">
        <v>2505</v>
      </c>
      <c r="V327" s="264">
        <v>1392</v>
      </c>
      <c r="W327" s="264">
        <v>1373</v>
      </c>
      <c r="X327" s="264">
        <v>951</v>
      </c>
      <c r="Y327" s="264">
        <v>6300</v>
      </c>
      <c r="Z327" s="264">
        <v>200643047</v>
      </c>
      <c r="AA327" s="264">
        <v>394</v>
      </c>
      <c r="AB327" s="264">
        <v>637</v>
      </c>
      <c r="AC327" s="265">
        <v>2403</v>
      </c>
      <c r="AD327" s="264">
        <v>27</v>
      </c>
      <c r="AE327" s="264"/>
      <c r="AF327" s="264"/>
      <c r="AG327" s="264">
        <v>473</v>
      </c>
      <c r="AH327" s="264">
        <v>336</v>
      </c>
      <c r="AI327" s="264"/>
      <c r="AJ327" s="264"/>
      <c r="AK327" s="264"/>
      <c r="AL327" s="264"/>
      <c r="AM327" s="264"/>
      <c r="AN327" s="264"/>
      <c r="AO327" s="264"/>
      <c r="AP327" s="264"/>
      <c r="AQ327" s="264"/>
      <c r="AR327" s="264"/>
      <c r="AS327" s="264"/>
      <c r="AT327" s="264"/>
      <c r="AU327" s="264"/>
      <c r="AV327" s="264"/>
      <c r="AW327" s="264"/>
      <c r="AX327" s="264"/>
      <c r="AY327" s="264"/>
    </row>
    <row r="328" spans="1:51">
      <c r="A328" s="262" t="s">
        <v>49</v>
      </c>
      <c r="B328" s="263">
        <v>21</v>
      </c>
      <c r="C328" s="262" t="s">
        <v>72</v>
      </c>
      <c r="D328" s="262" t="s">
        <v>18</v>
      </c>
      <c r="E328" s="263" t="s">
        <v>260</v>
      </c>
      <c r="F328" s="262">
        <v>2019</v>
      </c>
      <c r="G328" s="264">
        <v>7203</v>
      </c>
      <c r="H328" s="264">
        <v>2713</v>
      </c>
      <c r="I328" s="264">
        <v>4490</v>
      </c>
      <c r="J328" s="264">
        <v>113461</v>
      </c>
      <c r="K328" s="264">
        <v>151</v>
      </c>
      <c r="L328" s="264">
        <v>41</v>
      </c>
      <c r="M328" s="264">
        <v>39</v>
      </c>
      <c r="N328" s="264">
        <v>6179</v>
      </c>
      <c r="O328" s="264">
        <v>361494.31621984352</v>
      </c>
      <c r="P328" s="264">
        <v>3602</v>
      </c>
      <c r="Q328" s="264">
        <v>7310</v>
      </c>
      <c r="R328" s="264">
        <v>1911</v>
      </c>
      <c r="S328" s="264">
        <v>652</v>
      </c>
      <c r="T328" s="264">
        <v>6695</v>
      </c>
      <c r="U328" s="264">
        <v>2814</v>
      </c>
      <c r="V328" s="264">
        <v>1740</v>
      </c>
      <c r="W328" s="264">
        <v>1769</v>
      </c>
      <c r="X328" s="264">
        <v>1585</v>
      </c>
      <c r="Y328" s="264">
        <v>7203</v>
      </c>
      <c r="Z328" s="264">
        <v>155689495.88</v>
      </c>
      <c r="AA328" s="264">
        <v>393</v>
      </c>
      <c r="AB328" s="264">
        <v>1005</v>
      </c>
      <c r="AC328" s="265">
        <v>2965</v>
      </c>
      <c r="AD328" s="264">
        <v>194</v>
      </c>
      <c r="AE328" s="264"/>
      <c r="AF328" s="264"/>
      <c r="AG328" s="264">
        <v>6068</v>
      </c>
      <c r="AH328" s="264">
        <v>4405</v>
      </c>
      <c r="AI328" s="264"/>
      <c r="AJ328" s="264"/>
      <c r="AK328" s="264"/>
      <c r="AL328" s="264"/>
      <c r="AM328" s="264"/>
      <c r="AN328" s="264"/>
      <c r="AO328" s="264"/>
      <c r="AP328" s="264"/>
      <c r="AQ328" s="264"/>
      <c r="AR328" s="264"/>
      <c r="AS328" s="264"/>
      <c r="AT328" s="264"/>
      <c r="AU328" s="264"/>
      <c r="AV328" s="264"/>
      <c r="AW328" s="264"/>
      <c r="AX328" s="264"/>
      <c r="AY328" s="264"/>
    </row>
    <row r="329" spans="1:51">
      <c r="A329" s="262" t="s">
        <v>49</v>
      </c>
      <c r="B329" s="263">
        <v>22</v>
      </c>
      <c r="C329" s="262" t="s">
        <v>73</v>
      </c>
      <c r="D329" s="262" t="s">
        <v>29</v>
      </c>
      <c r="E329" s="263" t="s">
        <v>260</v>
      </c>
      <c r="F329" s="262">
        <v>2019</v>
      </c>
      <c r="G329" s="264">
        <v>3388</v>
      </c>
      <c r="H329" s="264">
        <v>1403</v>
      </c>
      <c r="I329" s="264">
        <v>1985</v>
      </c>
      <c r="J329" s="264">
        <v>33119</v>
      </c>
      <c r="K329" s="264">
        <v>67</v>
      </c>
      <c r="L329" s="264">
        <v>23</v>
      </c>
      <c r="M329" s="264">
        <v>26</v>
      </c>
      <c r="N329" s="264">
        <v>3077</v>
      </c>
      <c r="O329" s="264">
        <v>113009.46007740314</v>
      </c>
      <c r="P329" s="264">
        <v>2248</v>
      </c>
      <c r="Q329" s="264">
        <v>3473</v>
      </c>
      <c r="R329" s="264">
        <v>919</v>
      </c>
      <c r="S329" s="264">
        <v>754</v>
      </c>
      <c r="T329" s="264">
        <v>3151</v>
      </c>
      <c r="U329" s="264">
        <v>1359</v>
      </c>
      <c r="V329" s="264">
        <v>854</v>
      </c>
      <c r="W329" s="264">
        <v>745</v>
      </c>
      <c r="X329" s="264">
        <v>721</v>
      </c>
      <c r="Y329" s="264">
        <v>3388</v>
      </c>
      <c r="Z329" s="264">
        <v>55396948.509999998</v>
      </c>
      <c r="AA329" s="264">
        <v>237</v>
      </c>
      <c r="AB329" s="264">
        <v>449</v>
      </c>
      <c r="AC329" s="265">
        <v>363</v>
      </c>
      <c r="AD329" s="264">
        <v>116</v>
      </c>
      <c r="AE329" s="264"/>
      <c r="AF329" s="264"/>
      <c r="AG329" s="264">
        <v>543</v>
      </c>
      <c r="AH329" s="264">
        <v>382</v>
      </c>
      <c r="AI329" s="264"/>
      <c r="AJ329" s="264"/>
      <c r="AK329" s="264"/>
      <c r="AL329" s="264"/>
      <c r="AM329" s="264"/>
      <c r="AN329" s="264"/>
      <c r="AO329" s="264"/>
      <c r="AP329" s="264"/>
      <c r="AQ329" s="264"/>
      <c r="AR329" s="264"/>
      <c r="AS329" s="264"/>
      <c r="AT329" s="264"/>
      <c r="AU329" s="264"/>
      <c r="AV329" s="264"/>
      <c r="AW329" s="264"/>
      <c r="AX329" s="264"/>
      <c r="AY329" s="264"/>
    </row>
    <row r="330" spans="1:51">
      <c r="A330" s="262" t="s">
        <v>49</v>
      </c>
      <c r="B330" s="263">
        <v>23</v>
      </c>
      <c r="C330" s="262" t="s">
        <v>74</v>
      </c>
      <c r="D330" s="262" t="s">
        <v>19</v>
      </c>
      <c r="E330" s="263" t="s">
        <v>260</v>
      </c>
      <c r="F330" s="262">
        <v>2019</v>
      </c>
      <c r="G330" s="264">
        <v>8115</v>
      </c>
      <c r="H330" s="264">
        <v>3089</v>
      </c>
      <c r="I330" s="264">
        <v>5026</v>
      </c>
      <c r="J330" s="264">
        <v>24893</v>
      </c>
      <c r="K330" s="264">
        <v>113</v>
      </c>
      <c r="L330" s="264">
        <v>14</v>
      </c>
      <c r="M330" s="264">
        <v>27</v>
      </c>
      <c r="N330" s="264">
        <v>6862</v>
      </c>
      <c r="O330" s="264">
        <v>86320.258386016038</v>
      </c>
      <c r="P330" s="264">
        <v>3467</v>
      </c>
      <c r="Q330" s="264">
        <v>8590</v>
      </c>
      <c r="R330" s="264">
        <v>2370</v>
      </c>
      <c r="S330" s="264">
        <v>1178</v>
      </c>
      <c r="T330" s="264">
        <v>7867</v>
      </c>
      <c r="U330" s="264">
        <v>3453</v>
      </c>
      <c r="V330" s="264">
        <v>2174</v>
      </c>
      <c r="W330" s="264">
        <v>1786</v>
      </c>
      <c r="X330" s="264">
        <v>1635</v>
      </c>
      <c r="Y330" s="264">
        <v>8115</v>
      </c>
      <c r="Z330" s="264">
        <v>103609822.95</v>
      </c>
      <c r="AA330" s="264">
        <v>391</v>
      </c>
      <c r="AB330" s="264">
        <v>771</v>
      </c>
      <c r="AC330" s="265">
        <v>1492</v>
      </c>
      <c r="AD330" s="264">
        <v>0</v>
      </c>
      <c r="AE330" s="264"/>
      <c r="AF330" s="264"/>
      <c r="AG330" s="264">
        <v>2272</v>
      </c>
      <c r="AH330" s="264">
        <v>1523</v>
      </c>
      <c r="AI330" s="264"/>
      <c r="AJ330" s="264"/>
      <c r="AK330" s="264"/>
      <c r="AL330" s="264"/>
      <c r="AM330" s="264"/>
      <c r="AN330" s="264"/>
      <c r="AO330" s="264"/>
      <c r="AP330" s="264"/>
      <c r="AQ330" s="264"/>
      <c r="AR330" s="264"/>
      <c r="AS330" s="264"/>
      <c r="AT330" s="264"/>
      <c r="AU330" s="264"/>
      <c r="AV330" s="264"/>
      <c r="AW330" s="264"/>
      <c r="AX330" s="264"/>
      <c r="AY330" s="264"/>
    </row>
    <row r="331" spans="1:51">
      <c r="A331" s="262" t="s">
        <v>49</v>
      </c>
      <c r="B331" s="263">
        <v>24</v>
      </c>
      <c r="C331" s="262" t="s">
        <v>75</v>
      </c>
      <c r="D331" s="262" t="s">
        <v>20</v>
      </c>
      <c r="E331" s="263" t="s">
        <v>260</v>
      </c>
      <c r="F331" s="262">
        <v>2019</v>
      </c>
      <c r="G331" s="264">
        <v>5119</v>
      </c>
      <c r="H331" s="264">
        <v>1919</v>
      </c>
      <c r="I331" s="264">
        <v>3200</v>
      </c>
      <c r="J331" s="264">
        <v>47379</v>
      </c>
      <c r="K331" s="264">
        <v>98</v>
      </c>
      <c r="L331" s="264">
        <v>26</v>
      </c>
      <c r="M331" s="264">
        <v>25</v>
      </c>
      <c r="N331" s="264">
        <v>4235</v>
      </c>
      <c r="O331" s="264">
        <v>157745.4141578234</v>
      </c>
      <c r="P331" s="264">
        <v>2522</v>
      </c>
      <c r="Q331" s="264">
        <v>5259</v>
      </c>
      <c r="R331" s="264">
        <v>1314</v>
      </c>
      <c r="S331" s="264">
        <v>1016</v>
      </c>
      <c r="T331" s="264">
        <v>4741</v>
      </c>
      <c r="U331" s="264">
        <v>2244</v>
      </c>
      <c r="V331" s="264">
        <v>1169</v>
      </c>
      <c r="W331" s="264">
        <v>1163</v>
      </c>
      <c r="X331" s="264">
        <v>1100</v>
      </c>
      <c r="Y331" s="264">
        <v>5119</v>
      </c>
      <c r="Z331" s="264">
        <v>90816960.060000002</v>
      </c>
      <c r="AA331" s="264">
        <v>240</v>
      </c>
      <c r="AB331" s="264">
        <v>427</v>
      </c>
      <c r="AC331" s="265">
        <v>5064</v>
      </c>
      <c r="AD331" s="264">
        <v>224</v>
      </c>
      <c r="AE331" s="264"/>
      <c r="AF331" s="264"/>
      <c r="AG331" s="264">
        <v>1248</v>
      </c>
      <c r="AH331" s="264">
        <v>942</v>
      </c>
      <c r="AI331" s="264"/>
      <c r="AJ331" s="264"/>
      <c r="AK331" s="264"/>
      <c r="AL331" s="264"/>
      <c r="AM331" s="264"/>
      <c r="AN331" s="264"/>
      <c r="AO331" s="264"/>
      <c r="AP331" s="264"/>
      <c r="AQ331" s="264"/>
      <c r="AR331" s="264"/>
      <c r="AS331" s="264"/>
      <c r="AT331" s="264"/>
      <c r="AU331" s="264"/>
      <c r="AV331" s="264"/>
      <c r="AW331" s="264"/>
      <c r="AX331" s="264"/>
      <c r="AY331" s="264"/>
    </row>
    <row r="332" spans="1:51">
      <c r="A332" s="262" t="s">
        <v>49</v>
      </c>
      <c r="B332" s="263">
        <v>25</v>
      </c>
      <c r="C332" s="262" t="s">
        <v>76</v>
      </c>
      <c r="D332" s="262" t="s">
        <v>21</v>
      </c>
      <c r="E332" s="263" t="s">
        <v>260</v>
      </c>
      <c r="F332" s="262">
        <v>2019</v>
      </c>
      <c r="G332" s="264">
        <v>8646</v>
      </c>
      <c r="H332" s="264">
        <v>3156</v>
      </c>
      <c r="I332" s="264">
        <v>5490</v>
      </c>
      <c r="J332" s="264">
        <v>46187</v>
      </c>
      <c r="K332" s="264">
        <v>235</v>
      </c>
      <c r="L332" s="264">
        <v>73</v>
      </c>
      <c r="M332" s="264">
        <v>40</v>
      </c>
      <c r="N332" s="264">
        <v>7379</v>
      </c>
      <c r="O332" s="264">
        <v>161608.217462459</v>
      </c>
      <c r="P332" s="264">
        <v>3558</v>
      </c>
      <c r="Q332" s="264">
        <v>8604</v>
      </c>
      <c r="R332" s="264">
        <v>1815</v>
      </c>
      <c r="S332" s="264">
        <v>1759</v>
      </c>
      <c r="T332" s="264">
        <v>7691</v>
      </c>
      <c r="U332" s="264">
        <v>2997</v>
      </c>
      <c r="V332" s="264">
        <v>1672</v>
      </c>
      <c r="W332" s="264">
        <v>1964</v>
      </c>
      <c r="X332" s="264">
        <v>1726</v>
      </c>
      <c r="Y332" s="264">
        <v>8646</v>
      </c>
      <c r="Z332" s="264">
        <v>254225446.78999999</v>
      </c>
      <c r="AA332" s="264">
        <v>526</v>
      </c>
      <c r="AB332" s="264">
        <v>1117</v>
      </c>
      <c r="AC332" s="265">
        <v>139</v>
      </c>
      <c r="AD332" s="264">
        <v>228</v>
      </c>
      <c r="AE332" s="264"/>
      <c r="AF332" s="264"/>
      <c r="AG332" s="264">
        <v>2</v>
      </c>
      <c r="AH332" s="264">
        <v>2</v>
      </c>
      <c r="AI332" s="264"/>
      <c r="AJ332" s="264"/>
      <c r="AK332" s="264"/>
      <c r="AL332" s="264"/>
      <c r="AM332" s="264"/>
      <c r="AN332" s="264"/>
      <c r="AO332" s="264"/>
      <c r="AP332" s="264"/>
      <c r="AQ332" s="264"/>
      <c r="AR332" s="264"/>
      <c r="AS332" s="264"/>
      <c r="AT332" s="264"/>
      <c r="AU332" s="264"/>
      <c r="AV332" s="264"/>
      <c r="AW332" s="264"/>
      <c r="AX332" s="264"/>
      <c r="AY332" s="264"/>
    </row>
    <row r="333" spans="1:51">
      <c r="A333" s="262" t="s">
        <v>49</v>
      </c>
      <c r="B333" s="263">
        <v>26</v>
      </c>
      <c r="C333" s="262" t="s">
        <v>77</v>
      </c>
      <c r="D333" s="262" t="s">
        <v>22</v>
      </c>
      <c r="E333" s="263" t="s">
        <v>260</v>
      </c>
      <c r="F333" s="262">
        <v>2019</v>
      </c>
      <c r="G333" s="264">
        <v>14848</v>
      </c>
      <c r="H333" s="264">
        <v>6159</v>
      </c>
      <c r="I333" s="264">
        <v>8689</v>
      </c>
      <c r="J333" s="264">
        <v>44092</v>
      </c>
      <c r="K333" s="264">
        <v>265</v>
      </c>
      <c r="L333" s="264">
        <v>49</v>
      </c>
      <c r="M333" s="264">
        <v>44</v>
      </c>
      <c r="N333" s="264">
        <v>13444</v>
      </c>
      <c r="O333" s="264">
        <v>161431.28489995617</v>
      </c>
      <c r="P333" s="264">
        <v>6232</v>
      </c>
      <c r="Q333" s="264">
        <v>14826</v>
      </c>
      <c r="R333" s="264">
        <v>4071</v>
      </c>
      <c r="S333" s="264">
        <v>2683</v>
      </c>
      <c r="T333" s="264">
        <v>13576</v>
      </c>
      <c r="U333" s="264">
        <v>7175</v>
      </c>
      <c r="V333" s="264">
        <v>3583</v>
      </c>
      <c r="W333" s="264">
        <v>2606</v>
      </c>
      <c r="X333" s="264">
        <v>1447</v>
      </c>
      <c r="Y333" s="264">
        <v>14848</v>
      </c>
      <c r="Z333" s="264">
        <v>233759400.16</v>
      </c>
      <c r="AA333" s="264">
        <v>654</v>
      </c>
      <c r="AB333" s="264">
        <v>857</v>
      </c>
      <c r="AC333" s="265">
        <v>5632</v>
      </c>
      <c r="AD333" s="264">
        <v>595</v>
      </c>
      <c r="AE333" s="264"/>
      <c r="AF333" s="264"/>
      <c r="AG333" s="264">
        <v>549</v>
      </c>
      <c r="AH333" s="264">
        <v>404</v>
      </c>
      <c r="AI333" s="264"/>
      <c r="AJ333" s="264"/>
      <c r="AK333" s="264"/>
      <c r="AL333" s="264"/>
      <c r="AM333" s="264"/>
      <c r="AN333" s="264"/>
      <c r="AO333" s="264"/>
      <c r="AP333" s="264"/>
      <c r="AQ333" s="264"/>
      <c r="AR333" s="264"/>
      <c r="AS333" s="264"/>
      <c r="AT333" s="264"/>
      <c r="AU333" s="264"/>
      <c r="AV333" s="264"/>
      <c r="AW333" s="264"/>
      <c r="AX333" s="264"/>
      <c r="AY333" s="264"/>
    </row>
    <row r="334" spans="1:51">
      <c r="A334" s="262" t="s">
        <v>49</v>
      </c>
      <c r="B334" s="263">
        <v>27</v>
      </c>
      <c r="C334" s="262" t="s">
        <v>78</v>
      </c>
      <c r="D334" s="262" t="s">
        <v>23</v>
      </c>
      <c r="E334" s="263" t="s">
        <v>260</v>
      </c>
      <c r="F334" s="262">
        <v>2019</v>
      </c>
      <c r="G334" s="264">
        <v>5479</v>
      </c>
      <c r="H334" s="264">
        <v>2129</v>
      </c>
      <c r="I334" s="264">
        <v>3350</v>
      </c>
      <c r="J334" s="264">
        <v>41004</v>
      </c>
      <c r="K334" s="264">
        <v>89</v>
      </c>
      <c r="L334" s="264">
        <v>27</v>
      </c>
      <c r="M334" s="264">
        <v>24</v>
      </c>
      <c r="N334" s="264">
        <v>4935</v>
      </c>
      <c r="O334" s="264">
        <v>132930.79963753582</v>
      </c>
      <c r="P334" s="264">
        <v>2129</v>
      </c>
      <c r="Q334" s="264">
        <v>5608</v>
      </c>
      <c r="R334" s="264">
        <v>1555</v>
      </c>
      <c r="S334" s="264">
        <v>537</v>
      </c>
      <c r="T334" s="264">
        <v>5091</v>
      </c>
      <c r="U334" s="264">
        <v>2109</v>
      </c>
      <c r="V334" s="264">
        <v>1416</v>
      </c>
      <c r="W334" s="264">
        <v>1398</v>
      </c>
      <c r="X334" s="264">
        <v>1342</v>
      </c>
      <c r="Y334" s="264">
        <v>5479</v>
      </c>
      <c r="Z334" s="264">
        <v>116258748.91</v>
      </c>
      <c r="AA334" s="264">
        <v>291</v>
      </c>
      <c r="AB334" s="264">
        <v>484</v>
      </c>
      <c r="AC334" s="265">
        <v>251</v>
      </c>
      <c r="AD334" s="264">
        <v>33</v>
      </c>
      <c r="AE334" s="264"/>
      <c r="AF334" s="264"/>
      <c r="AG334" s="264">
        <v>512</v>
      </c>
      <c r="AH334" s="264">
        <v>344</v>
      </c>
      <c r="AI334" s="264"/>
      <c r="AJ334" s="264"/>
      <c r="AK334" s="264"/>
      <c r="AL334" s="264"/>
      <c r="AM334" s="264"/>
      <c r="AN334" s="264"/>
      <c r="AO334" s="264"/>
      <c r="AP334" s="264"/>
      <c r="AQ334" s="264"/>
      <c r="AR334" s="264"/>
      <c r="AS334" s="264"/>
      <c r="AT334" s="264"/>
      <c r="AU334" s="264"/>
      <c r="AV334" s="264"/>
      <c r="AW334" s="264"/>
      <c r="AX334" s="264"/>
      <c r="AY334" s="264"/>
    </row>
    <row r="335" spans="1:51">
      <c r="A335" s="262" t="s">
        <v>49</v>
      </c>
      <c r="B335" s="263">
        <v>28</v>
      </c>
      <c r="C335" s="262" t="s">
        <v>79</v>
      </c>
      <c r="D335" s="262" t="s">
        <v>24</v>
      </c>
      <c r="E335" s="263" t="s">
        <v>260</v>
      </c>
      <c r="F335" s="262">
        <v>2019</v>
      </c>
      <c r="G335" s="264">
        <v>7871</v>
      </c>
      <c r="H335" s="264">
        <v>3065</v>
      </c>
      <c r="I335" s="264">
        <v>4806</v>
      </c>
      <c r="J335" s="264">
        <v>49884</v>
      </c>
      <c r="K335" s="264">
        <v>164</v>
      </c>
      <c r="L335" s="264">
        <v>29</v>
      </c>
      <c r="M335" s="264">
        <v>42</v>
      </c>
      <c r="N335" s="264">
        <v>7131</v>
      </c>
      <c r="O335" s="264">
        <v>187952.82391209184</v>
      </c>
      <c r="P335" s="264">
        <v>3411</v>
      </c>
      <c r="Q335" s="264">
        <v>8533</v>
      </c>
      <c r="R335" s="264">
        <v>2290</v>
      </c>
      <c r="S335" s="264">
        <v>1414</v>
      </c>
      <c r="T335" s="264">
        <v>7586</v>
      </c>
      <c r="U335" s="264">
        <v>3648</v>
      </c>
      <c r="V335" s="264">
        <v>2099</v>
      </c>
      <c r="W335" s="264">
        <v>1856</v>
      </c>
      <c r="X335" s="264">
        <v>1733</v>
      </c>
      <c r="Y335" s="264">
        <v>7871</v>
      </c>
      <c r="Z335" s="264">
        <v>180294519.78999999</v>
      </c>
      <c r="AA335" s="264">
        <v>391</v>
      </c>
      <c r="AB335" s="264">
        <v>1077</v>
      </c>
      <c r="AC335" s="265">
        <v>5747</v>
      </c>
      <c r="AD335" s="264">
        <v>182</v>
      </c>
      <c r="AE335" s="264"/>
      <c r="AF335" s="264"/>
      <c r="AG335" s="264">
        <v>508</v>
      </c>
      <c r="AH335" s="264">
        <v>432</v>
      </c>
      <c r="AI335" s="264">
        <v>63</v>
      </c>
      <c r="AJ335" s="264"/>
      <c r="AK335" s="264"/>
      <c r="AL335" s="264"/>
      <c r="AM335" s="264"/>
      <c r="AN335" s="264"/>
      <c r="AO335" s="264"/>
      <c r="AP335" s="264"/>
      <c r="AQ335" s="264"/>
      <c r="AR335" s="264"/>
      <c r="AS335" s="264"/>
      <c r="AT335" s="264"/>
      <c r="AU335" s="264"/>
      <c r="AV335" s="264"/>
      <c r="AW335" s="264"/>
      <c r="AX335" s="264"/>
      <c r="AY335" s="264"/>
    </row>
    <row r="336" spans="1:51">
      <c r="A336" s="262" t="s">
        <v>49</v>
      </c>
      <c r="B336" s="263">
        <v>29</v>
      </c>
      <c r="C336" s="262" t="s">
        <v>80</v>
      </c>
      <c r="D336" s="262" t="s">
        <v>25</v>
      </c>
      <c r="E336" s="263" t="s">
        <v>260</v>
      </c>
      <c r="F336" s="262">
        <v>2019</v>
      </c>
      <c r="G336" s="264">
        <v>3175</v>
      </c>
      <c r="H336" s="264">
        <v>1171</v>
      </c>
      <c r="I336" s="264">
        <v>2004</v>
      </c>
      <c r="J336" s="264">
        <v>23385</v>
      </c>
      <c r="K336" s="264">
        <v>49</v>
      </c>
      <c r="L336" s="264">
        <v>18</v>
      </c>
      <c r="M336" s="264">
        <v>15</v>
      </c>
      <c r="N336" s="264">
        <v>2899</v>
      </c>
      <c r="O336" s="264">
        <v>74496.422872691313</v>
      </c>
      <c r="P336" s="264">
        <v>1369</v>
      </c>
      <c r="Q336" s="264">
        <v>3232</v>
      </c>
      <c r="R336" s="264">
        <v>821</v>
      </c>
      <c r="S336" s="264">
        <v>249</v>
      </c>
      <c r="T336" s="264">
        <v>2983</v>
      </c>
      <c r="U336" s="264">
        <v>1333</v>
      </c>
      <c r="V336" s="264">
        <v>725</v>
      </c>
      <c r="W336" s="264">
        <v>594</v>
      </c>
      <c r="X336" s="264">
        <v>581</v>
      </c>
      <c r="Y336" s="264">
        <v>3175</v>
      </c>
      <c r="Z336" s="264">
        <v>44064909.369999997</v>
      </c>
      <c r="AA336" s="264">
        <v>185</v>
      </c>
      <c r="AB336" s="264">
        <v>455</v>
      </c>
      <c r="AC336" s="265">
        <v>4354</v>
      </c>
      <c r="AD336" s="264">
        <v>169</v>
      </c>
      <c r="AE336" s="264"/>
      <c r="AF336" s="264"/>
      <c r="AG336" s="264">
        <v>822</v>
      </c>
      <c r="AH336" s="264">
        <v>262</v>
      </c>
      <c r="AI336" s="264"/>
      <c r="AJ336" s="264"/>
      <c r="AK336" s="264"/>
      <c r="AL336" s="264"/>
      <c r="AM336" s="264"/>
      <c r="AN336" s="264"/>
      <c r="AO336" s="264"/>
      <c r="AP336" s="264"/>
      <c r="AQ336" s="264"/>
      <c r="AR336" s="264"/>
      <c r="AS336" s="264"/>
      <c r="AT336" s="264"/>
      <c r="AU336" s="264"/>
      <c r="AV336" s="264"/>
      <c r="AW336" s="264"/>
      <c r="AX336" s="264"/>
      <c r="AY336" s="264"/>
    </row>
    <row r="337" spans="1:54">
      <c r="A337" s="262" t="s">
        <v>49</v>
      </c>
      <c r="B337" s="263">
        <v>30</v>
      </c>
      <c r="C337" s="262" t="s">
        <v>81</v>
      </c>
      <c r="D337" s="262" t="s">
        <v>53</v>
      </c>
      <c r="E337" s="263" t="s">
        <v>260</v>
      </c>
      <c r="F337" s="262">
        <v>2019</v>
      </c>
      <c r="G337" s="264">
        <v>9166</v>
      </c>
      <c r="H337" s="264">
        <v>3739</v>
      </c>
      <c r="I337" s="264">
        <v>5427</v>
      </c>
      <c r="J337" s="264">
        <v>125261</v>
      </c>
      <c r="K337" s="264">
        <v>172</v>
      </c>
      <c r="L337" s="264">
        <v>44</v>
      </c>
      <c r="M337" s="264">
        <v>74</v>
      </c>
      <c r="N337" s="264">
        <v>8288</v>
      </c>
      <c r="O337" s="264">
        <v>428789.89463466225</v>
      </c>
      <c r="P337" s="264">
        <v>4695</v>
      </c>
      <c r="Q337" s="264">
        <v>8858</v>
      </c>
      <c r="R337" s="264">
        <v>2596</v>
      </c>
      <c r="S337" s="264">
        <v>838</v>
      </c>
      <c r="T337" s="264">
        <v>8291</v>
      </c>
      <c r="U337" s="264">
        <v>3448</v>
      </c>
      <c r="V337" s="264">
        <v>2404</v>
      </c>
      <c r="W337" s="264">
        <v>2472</v>
      </c>
      <c r="X337" s="264">
        <v>2184</v>
      </c>
      <c r="Y337" s="264">
        <v>9166</v>
      </c>
      <c r="Z337" s="264">
        <v>241417343.38</v>
      </c>
      <c r="AA337" s="264">
        <v>534</v>
      </c>
      <c r="AB337" s="264">
        <v>1543</v>
      </c>
      <c r="AC337" s="265">
        <v>4933</v>
      </c>
      <c r="AD337" s="264">
        <v>194</v>
      </c>
      <c r="AE337" s="264"/>
      <c r="AF337" s="264"/>
      <c r="AG337" s="264">
        <v>4529</v>
      </c>
      <c r="AH337" s="264">
        <v>2353</v>
      </c>
      <c r="AI337" s="264">
        <v>599</v>
      </c>
      <c r="AJ337" s="264"/>
      <c r="AK337" s="264"/>
      <c r="AL337" s="264"/>
      <c r="AM337" s="264"/>
      <c r="AN337" s="264"/>
      <c r="AO337" s="264"/>
      <c r="AP337" s="264"/>
      <c r="AQ337" s="264"/>
      <c r="AR337" s="264"/>
      <c r="AS337" s="264"/>
      <c r="AT337" s="264"/>
      <c r="AU337" s="264"/>
      <c r="AV337" s="264"/>
      <c r="AW337" s="264"/>
      <c r="AX337" s="264"/>
      <c r="AY337" s="264"/>
    </row>
    <row r="338" spans="1:54">
      <c r="A338" s="262" t="s">
        <v>49</v>
      </c>
      <c r="B338" s="263">
        <v>31</v>
      </c>
      <c r="C338" s="262" t="s">
        <v>82</v>
      </c>
      <c r="D338" s="262" t="s">
        <v>26</v>
      </c>
      <c r="E338" s="263" t="s">
        <v>260</v>
      </c>
      <c r="F338" s="262">
        <v>2019</v>
      </c>
      <c r="G338" s="264">
        <v>5231</v>
      </c>
      <c r="H338" s="264">
        <v>1994</v>
      </c>
      <c r="I338" s="264">
        <v>3237</v>
      </c>
      <c r="J338" s="264">
        <v>32464</v>
      </c>
      <c r="K338" s="264">
        <v>69</v>
      </c>
      <c r="L338" s="264">
        <v>14</v>
      </c>
      <c r="M338" s="264">
        <v>18</v>
      </c>
      <c r="N338" s="264">
        <v>4000</v>
      </c>
      <c r="O338" s="264">
        <v>110127.91103826847</v>
      </c>
      <c r="P338" s="264">
        <v>2389</v>
      </c>
      <c r="Q338" s="264">
        <v>5303</v>
      </c>
      <c r="R338" s="264">
        <v>1286</v>
      </c>
      <c r="S338" s="264">
        <v>1065</v>
      </c>
      <c r="T338" s="264">
        <v>4745</v>
      </c>
      <c r="U338" s="264">
        <v>2046</v>
      </c>
      <c r="V338" s="264">
        <v>1156</v>
      </c>
      <c r="W338" s="264">
        <v>1030</v>
      </c>
      <c r="X338" s="264">
        <v>870</v>
      </c>
      <c r="Y338" s="264">
        <v>5231</v>
      </c>
      <c r="Z338" s="264">
        <v>112512632.04000001</v>
      </c>
      <c r="AA338" s="264">
        <v>269</v>
      </c>
      <c r="AB338" s="264">
        <v>484</v>
      </c>
      <c r="AC338" s="265">
        <v>2290</v>
      </c>
      <c r="AD338" s="264">
        <v>496</v>
      </c>
      <c r="AE338" s="264"/>
      <c r="AF338" s="264"/>
      <c r="AG338" s="264">
        <v>1504</v>
      </c>
      <c r="AH338" s="264">
        <v>1100</v>
      </c>
      <c r="AI338" s="264"/>
      <c r="AJ338" s="264"/>
      <c r="AK338" s="264"/>
      <c r="AL338" s="264"/>
      <c r="AM338" s="264"/>
      <c r="AN338" s="264"/>
      <c r="AO338" s="264"/>
      <c r="AP338" s="264"/>
      <c r="AQ338" s="264"/>
      <c r="AR338" s="264"/>
      <c r="AS338" s="264"/>
      <c r="AT338" s="264"/>
      <c r="AU338" s="264"/>
      <c r="AV338" s="264"/>
      <c r="AW338" s="264"/>
      <c r="AX338" s="264"/>
      <c r="AY338" s="264"/>
    </row>
    <row r="339" spans="1:54">
      <c r="A339" s="262" t="s">
        <v>49</v>
      </c>
      <c r="B339" s="263">
        <v>32</v>
      </c>
      <c r="C339" s="262" t="s">
        <v>83</v>
      </c>
      <c r="D339" s="262" t="s">
        <v>27</v>
      </c>
      <c r="E339" s="263" t="s">
        <v>260</v>
      </c>
      <c r="F339" s="262">
        <v>2019</v>
      </c>
      <c r="G339" s="264">
        <v>1468</v>
      </c>
      <c r="H339" s="264">
        <v>610</v>
      </c>
      <c r="I339" s="264">
        <v>858</v>
      </c>
      <c r="J339" s="264">
        <v>24839</v>
      </c>
      <c r="K339" s="264">
        <v>60</v>
      </c>
      <c r="L339" s="264">
        <v>21</v>
      </c>
      <c r="M339" s="264">
        <v>7</v>
      </c>
      <c r="N339" s="264">
        <v>1180</v>
      </c>
      <c r="O339" s="264">
        <v>89216.325332009379</v>
      </c>
      <c r="P339" s="264">
        <v>697</v>
      </c>
      <c r="Q339" s="264">
        <v>1538</v>
      </c>
      <c r="R339" s="264">
        <v>355</v>
      </c>
      <c r="S339" s="264">
        <v>506</v>
      </c>
      <c r="T339" s="264">
        <v>1302</v>
      </c>
      <c r="U339" s="264">
        <v>736</v>
      </c>
      <c r="V339" s="264">
        <v>298</v>
      </c>
      <c r="W339" s="264">
        <v>262</v>
      </c>
      <c r="X339" s="264">
        <v>261</v>
      </c>
      <c r="Y339" s="264">
        <v>1468</v>
      </c>
      <c r="Z339" s="264">
        <v>43143301.719999999</v>
      </c>
      <c r="AA339" s="264">
        <v>85</v>
      </c>
      <c r="AB339" s="264">
        <v>197</v>
      </c>
      <c r="AC339" s="265">
        <v>1895</v>
      </c>
      <c r="AD339" s="264">
        <v>281</v>
      </c>
      <c r="AE339" s="264"/>
      <c r="AF339" s="264"/>
      <c r="AG339" s="264">
        <v>693</v>
      </c>
      <c r="AH339" s="264">
        <v>578</v>
      </c>
      <c r="AI339" s="264"/>
      <c r="AJ339" s="264"/>
      <c r="AK339" s="264"/>
      <c r="AL339" s="264"/>
      <c r="AM339" s="264"/>
      <c r="AN339" s="264"/>
      <c r="AO339" s="264"/>
      <c r="AP339" s="264"/>
      <c r="AQ339" s="264"/>
      <c r="AR339" s="264"/>
      <c r="AS339" s="264"/>
      <c r="AT339" s="264"/>
      <c r="AU339" s="264"/>
      <c r="AV339" s="264"/>
      <c r="AW339" s="264"/>
      <c r="AX339" s="264"/>
      <c r="AY339" s="264"/>
    </row>
    <row r="340" spans="1:54">
      <c r="A340" s="262" t="s">
        <v>124</v>
      </c>
      <c r="B340" s="263">
        <v>33</v>
      </c>
      <c r="C340" s="262" t="s">
        <v>125</v>
      </c>
      <c r="D340" s="262" t="s">
        <v>40</v>
      </c>
      <c r="E340" s="263" t="s">
        <v>260</v>
      </c>
      <c r="F340" s="262">
        <v>2019</v>
      </c>
      <c r="G340" s="264"/>
      <c r="H340" s="264"/>
      <c r="I340" s="264"/>
      <c r="J340" s="264"/>
      <c r="K340" s="264"/>
      <c r="L340" s="264"/>
      <c r="M340" s="264"/>
      <c r="N340" s="264"/>
      <c r="O340" s="264"/>
      <c r="P340" s="264"/>
      <c r="Q340" s="264"/>
      <c r="R340" s="264"/>
      <c r="S340" s="264"/>
      <c r="T340" s="264"/>
      <c r="U340" s="264"/>
      <c r="V340" s="264"/>
      <c r="W340" s="264"/>
      <c r="X340" s="264"/>
      <c r="Y340" s="264"/>
      <c r="Z340" s="264"/>
      <c r="AA340" s="264"/>
      <c r="AB340" s="264"/>
      <c r="AC340" s="264"/>
      <c r="AD340" s="264"/>
      <c r="AE340" s="264"/>
      <c r="AF340" s="264"/>
      <c r="AG340" s="264">
        <v>1235</v>
      </c>
      <c r="AH340" s="264">
        <v>1166</v>
      </c>
      <c r="AI340" s="264"/>
      <c r="AJ340" s="264"/>
      <c r="AK340" s="264"/>
      <c r="AL340" s="264"/>
      <c r="AM340" s="264"/>
      <c r="AN340" s="264"/>
      <c r="AO340" s="264"/>
      <c r="AP340" s="264"/>
      <c r="AQ340" s="264"/>
      <c r="AR340" s="264"/>
      <c r="AS340" s="264"/>
      <c r="AT340" s="264"/>
      <c r="AU340" s="264"/>
      <c r="AV340" s="264"/>
      <c r="AW340" s="264"/>
      <c r="AX340" s="264"/>
      <c r="AY340" s="264"/>
    </row>
    <row r="341" spans="1:54">
      <c r="A341" s="262" t="s">
        <v>50</v>
      </c>
      <c r="B341" s="263">
        <v>0</v>
      </c>
      <c r="C341" s="262" t="s">
        <v>123</v>
      </c>
      <c r="D341" s="262" t="s">
        <v>39</v>
      </c>
      <c r="E341" s="263" t="s">
        <v>260</v>
      </c>
      <c r="F341" s="262">
        <v>2019</v>
      </c>
      <c r="G341" s="264"/>
      <c r="H341" s="264"/>
      <c r="I341" s="264"/>
      <c r="J341" s="264"/>
      <c r="K341" s="264"/>
      <c r="L341" s="264"/>
      <c r="M341" s="264"/>
      <c r="N341" s="264"/>
      <c r="O341" s="264"/>
      <c r="P341" s="264"/>
      <c r="Q341" s="264"/>
      <c r="R341" s="264"/>
      <c r="S341" s="264"/>
      <c r="T341" s="264"/>
      <c r="U341" s="264"/>
      <c r="V341" s="264"/>
      <c r="W341" s="264"/>
      <c r="X341" s="264"/>
      <c r="Y341" s="264"/>
      <c r="Z341" s="264"/>
      <c r="AA341" s="264"/>
      <c r="AB341" s="264"/>
      <c r="AC341" s="264">
        <v>425</v>
      </c>
      <c r="AD341" s="264"/>
      <c r="AE341" s="264"/>
      <c r="AF341" s="264"/>
      <c r="AG341" s="264">
        <v>3719</v>
      </c>
      <c r="AH341" s="264">
        <v>3653</v>
      </c>
      <c r="AI341" s="264"/>
      <c r="AJ341" s="264">
        <v>384815.8</v>
      </c>
      <c r="AK341" s="264">
        <v>1511221.007</v>
      </c>
      <c r="AL341" s="264">
        <v>1511221.007</v>
      </c>
      <c r="AM341" s="264">
        <v>1512433.503</v>
      </c>
      <c r="AN341" s="264">
        <v>1463719.9280000001</v>
      </c>
      <c r="AO341" s="264">
        <v>1463719.9280000001</v>
      </c>
      <c r="AP341" s="264">
        <v>1510986.557</v>
      </c>
      <c r="AQ341" s="264">
        <v>1512199.0530000001</v>
      </c>
      <c r="AR341" s="264">
        <v>234.45</v>
      </c>
      <c r="AS341" s="264">
        <v>234.45</v>
      </c>
      <c r="AT341" s="264">
        <v>47501.078999999998</v>
      </c>
      <c r="AU341" s="264">
        <v>1511221.007</v>
      </c>
      <c r="AV341" s="264">
        <v>47548.292999999998</v>
      </c>
      <c r="AW341" s="264">
        <v>48713.574999999997</v>
      </c>
      <c r="AX341" s="264">
        <v>1511221.007</v>
      </c>
      <c r="AY341" s="264">
        <v>1512433.503</v>
      </c>
    </row>
    <row r="342" spans="1:54">
      <c r="A342" s="179" t="s">
        <v>49</v>
      </c>
      <c r="B342" s="180">
        <v>1</v>
      </c>
      <c r="C342" s="179" t="s">
        <v>54</v>
      </c>
      <c r="D342" s="179" t="s">
        <v>1</v>
      </c>
      <c r="E342" s="180" t="s">
        <v>306</v>
      </c>
      <c r="F342" s="179">
        <v>2020</v>
      </c>
      <c r="G342" s="181">
        <v>4531</v>
      </c>
      <c r="H342" s="181">
        <v>1691</v>
      </c>
      <c r="I342" s="181">
        <v>2840</v>
      </c>
      <c r="J342" s="181">
        <v>21458</v>
      </c>
      <c r="K342" s="181">
        <v>83</v>
      </c>
      <c r="L342" s="181">
        <v>19</v>
      </c>
      <c r="M342" s="181">
        <v>22</v>
      </c>
      <c r="N342" s="181">
        <v>4236</v>
      </c>
      <c r="O342" s="181">
        <v>80698</v>
      </c>
      <c r="P342" s="181">
        <v>2844</v>
      </c>
      <c r="Q342" s="181">
        <v>4532</v>
      </c>
      <c r="R342" s="181">
        <v>1200</v>
      </c>
      <c r="S342" s="181">
        <v>530</v>
      </c>
      <c r="T342" s="181">
        <v>4246</v>
      </c>
      <c r="U342" s="181">
        <v>1771</v>
      </c>
      <c r="V342" s="181">
        <v>1067</v>
      </c>
      <c r="W342" s="181">
        <v>1121</v>
      </c>
      <c r="X342" s="181">
        <v>1009</v>
      </c>
      <c r="Y342" s="181">
        <v>4531</v>
      </c>
      <c r="Z342" s="181">
        <v>75876699.260000005</v>
      </c>
      <c r="AA342" s="181">
        <v>276</v>
      </c>
      <c r="AB342" s="181">
        <v>429</v>
      </c>
      <c r="AC342" s="181">
        <v>1007</v>
      </c>
      <c r="AD342" s="181">
        <v>2</v>
      </c>
      <c r="AE342" s="181"/>
      <c r="AF342" s="181"/>
      <c r="AG342" s="181">
        <v>1050</v>
      </c>
      <c r="AH342" s="181">
        <v>1004</v>
      </c>
      <c r="AI342" s="181"/>
      <c r="AJ342" s="181"/>
      <c r="AK342" s="181"/>
      <c r="AL342" s="181"/>
      <c r="AM342" s="181"/>
      <c r="AN342" s="181"/>
      <c r="AO342" s="181"/>
      <c r="AP342" s="181"/>
      <c r="AQ342" s="181"/>
      <c r="AR342" s="181"/>
      <c r="AS342" s="181"/>
      <c r="AT342" s="181"/>
      <c r="AU342" s="181"/>
      <c r="AV342" s="181"/>
      <c r="AW342" s="181"/>
      <c r="AX342" s="181"/>
      <c r="AY342" s="181"/>
      <c r="AZ342" s="266"/>
      <c r="BA342" s="266"/>
      <c r="BB342" s="266"/>
    </row>
    <row r="343" spans="1:54">
      <c r="A343" s="179" t="s">
        <v>49</v>
      </c>
      <c r="B343" s="180">
        <v>2</v>
      </c>
      <c r="C343" s="179" t="s">
        <v>55</v>
      </c>
      <c r="D343" s="179" t="s">
        <v>3</v>
      </c>
      <c r="E343" s="180" t="s">
        <v>306</v>
      </c>
      <c r="F343" s="179">
        <v>2020</v>
      </c>
      <c r="G343" s="181">
        <v>8621</v>
      </c>
      <c r="H343" s="181">
        <v>3245</v>
      </c>
      <c r="I343" s="181">
        <v>5376</v>
      </c>
      <c r="J343" s="181">
        <v>54940</v>
      </c>
      <c r="K343" s="181">
        <v>125</v>
      </c>
      <c r="L343" s="181">
        <v>32</v>
      </c>
      <c r="M343" s="181">
        <v>24</v>
      </c>
      <c r="N343" s="181">
        <v>7358</v>
      </c>
      <c r="O343" s="181">
        <v>186875</v>
      </c>
      <c r="P343" s="181">
        <v>3620</v>
      </c>
      <c r="Q343" s="181">
        <v>8748</v>
      </c>
      <c r="R343" s="181">
        <v>1950</v>
      </c>
      <c r="S343" s="181">
        <v>890</v>
      </c>
      <c r="T343" s="181">
        <v>7798</v>
      </c>
      <c r="U343" s="181">
        <v>3372</v>
      </c>
      <c r="V343" s="181">
        <v>1630</v>
      </c>
      <c r="W343" s="181">
        <v>1641</v>
      </c>
      <c r="X343" s="181">
        <v>1472</v>
      </c>
      <c r="Y343" s="181">
        <v>8621</v>
      </c>
      <c r="Z343" s="181">
        <v>149280326.97999999</v>
      </c>
      <c r="AA343" s="181">
        <v>391</v>
      </c>
      <c r="AB343" s="181">
        <v>749</v>
      </c>
      <c r="AC343" s="181">
        <v>7335</v>
      </c>
      <c r="AD343" s="181">
        <v>64</v>
      </c>
      <c r="AE343" s="181"/>
      <c r="AF343" s="181"/>
      <c r="AG343" s="181">
        <v>2667</v>
      </c>
      <c r="AH343" s="181">
        <v>2590</v>
      </c>
      <c r="AI343" s="181">
        <v>188</v>
      </c>
      <c r="AJ343" s="181"/>
      <c r="AK343" s="181"/>
      <c r="AL343" s="181"/>
      <c r="AM343" s="181"/>
      <c r="AN343" s="181"/>
      <c r="AO343" s="181"/>
      <c r="AP343" s="181"/>
      <c r="AQ343" s="181"/>
      <c r="AR343" s="181"/>
      <c r="AS343" s="181"/>
      <c r="AT343" s="181"/>
      <c r="AU343" s="181"/>
      <c r="AV343" s="181"/>
      <c r="AW343" s="181"/>
      <c r="AX343" s="181"/>
      <c r="AY343" s="181"/>
      <c r="AZ343" s="266"/>
      <c r="BA343" s="266"/>
      <c r="BB343" s="266"/>
    </row>
    <row r="344" spans="1:54">
      <c r="A344" s="179" t="s">
        <v>49</v>
      </c>
      <c r="B344" s="180">
        <v>3</v>
      </c>
      <c r="C344" s="179" t="s">
        <v>56</v>
      </c>
      <c r="D344" s="179" t="s">
        <v>4</v>
      </c>
      <c r="E344" s="180" t="s">
        <v>306</v>
      </c>
      <c r="F344" s="179">
        <v>2020</v>
      </c>
      <c r="G344" s="181">
        <v>1505</v>
      </c>
      <c r="H344" s="181">
        <v>526</v>
      </c>
      <c r="I344" s="181">
        <v>979</v>
      </c>
      <c r="J344" s="181">
        <v>12017</v>
      </c>
      <c r="K344" s="181">
        <v>18</v>
      </c>
      <c r="L344" s="181">
        <v>5</v>
      </c>
      <c r="M344" s="181">
        <v>1</v>
      </c>
      <c r="N344" s="181">
        <v>1269</v>
      </c>
      <c r="O344" s="181">
        <v>40181</v>
      </c>
      <c r="P344" s="181">
        <v>799</v>
      </c>
      <c r="Q344" s="181">
        <v>1538</v>
      </c>
      <c r="R344" s="181">
        <v>380</v>
      </c>
      <c r="S344" s="181">
        <v>184</v>
      </c>
      <c r="T344" s="181">
        <v>1433</v>
      </c>
      <c r="U344" s="181">
        <v>572</v>
      </c>
      <c r="V344" s="181">
        <v>326</v>
      </c>
      <c r="W344" s="181">
        <v>443</v>
      </c>
      <c r="X344" s="181">
        <v>431</v>
      </c>
      <c r="Y344" s="181">
        <v>1505</v>
      </c>
      <c r="Z344" s="181">
        <v>37530203.390000001</v>
      </c>
      <c r="AA344" s="181">
        <v>81</v>
      </c>
      <c r="AB344" s="181">
        <v>217</v>
      </c>
      <c r="AC344" s="181">
        <v>150</v>
      </c>
      <c r="AD344" s="181">
        <v>0</v>
      </c>
      <c r="AE344" s="181"/>
      <c r="AF344" s="181"/>
      <c r="AG344" s="181">
        <v>15</v>
      </c>
      <c r="AH344" s="181">
        <v>13</v>
      </c>
      <c r="AI344" s="181"/>
      <c r="AJ344" s="181"/>
      <c r="AK344" s="181"/>
      <c r="AL344" s="181"/>
      <c r="AM344" s="181"/>
      <c r="AN344" s="181"/>
      <c r="AO344" s="181"/>
      <c r="AP344" s="181"/>
      <c r="AQ344" s="181"/>
      <c r="AR344" s="181"/>
      <c r="AS344" s="181"/>
      <c r="AT344" s="181"/>
      <c r="AU344" s="181"/>
      <c r="AV344" s="181"/>
      <c r="AW344" s="181"/>
      <c r="AX344" s="181"/>
      <c r="AY344" s="181"/>
      <c r="AZ344" s="266"/>
      <c r="BA344" s="266"/>
      <c r="BB344" s="266"/>
    </row>
    <row r="345" spans="1:54">
      <c r="A345" s="179" t="s">
        <v>49</v>
      </c>
      <c r="B345" s="180">
        <v>4</v>
      </c>
      <c r="C345" s="179" t="s">
        <v>57</v>
      </c>
      <c r="D345" s="179" t="s">
        <v>5</v>
      </c>
      <c r="E345" s="180" t="s">
        <v>306</v>
      </c>
      <c r="F345" s="179">
        <v>2020</v>
      </c>
      <c r="G345" s="181">
        <v>1959</v>
      </c>
      <c r="H345" s="181">
        <v>686</v>
      </c>
      <c r="I345" s="181">
        <v>1273</v>
      </c>
      <c r="J345" s="181">
        <v>12969</v>
      </c>
      <c r="K345" s="181">
        <v>39</v>
      </c>
      <c r="L345" s="181">
        <v>9</v>
      </c>
      <c r="M345" s="181">
        <v>13</v>
      </c>
      <c r="N345" s="181">
        <v>1527</v>
      </c>
      <c r="O345" s="181">
        <v>50987</v>
      </c>
      <c r="P345" s="181">
        <v>810</v>
      </c>
      <c r="Q345" s="181">
        <v>1953</v>
      </c>
      <c r="R345" s="181">
        <v>439</v>
      </c>
      <c r="S345" s="181">
        <v>170</v>
      </c>
      <c r="T345" s="181">
        <v>1766</v>
      </c>
      <c r="U345" s="181">
        <v>726</v>
      </c>
      <c r="V345" s="181">
        <v>395</v>
      </c>
      <c r="W345" s="181">
        <v>356</v>
      </c>
      <c r="X345" s="181">
        <v>318</v>
      </c>
      <c r="Y345" s="181">
        <v>1959</v>
      </c>
      <c r="Z345" s="181">
        <v>44831293.82</v>
      </c>
      <c r="AA345" s="181">
        <v>118</v>
      </c>
      <c r="AB345" s="181">
        <v>331</v>
      </c>
      <c r="AC345" s="181">
        <v>888</v>
      </c>
      <c r="AD345" s="181">
        <v>20</v>
      </c>
      <c r="AE345" s="181"/>
      <c r="AF345" s="181"/>
      <c r="AG345" s="181">
        <v>160</v>
      </c>
      <c r="AH345" s="181">
        <v>73</v>
      </c>
      <c r="AI345" s="181"/>
      <c r="AJ345" s="181"/>
      <c r="AK345" s="181"/>
      <c r="AL345" s="181"/>
      <c r="AM345" s="181"/>
      <c r="AN345" s="181"/>
      <c r="AO345" s="181"/>
      <c r="AP345" s="181"/>
      <c r="AQ345" s="181"/>
      <c r="AR345" s="181"/>
      <c r="AS345" s="181"/>
      <c r="AT345" s="181"/>
      <c r="AU345" s="181"/>
      <c r="AV345" s="181"/>
      <c r="AW345" s="181"/>
      <c r="AX345" s="181"/>
      <c r="AY345" s="181"/>
      <c r="AZ345" s="266"/>
      <c r="BA345" s="266"/>
      <c r="BB345" s="266"/>
    </row>
    <row r="346" spans="1:54">
      <c r="A346" s="179" t="s">
        <v>49</v>
      </c>
      <c r="B346" s="180">
        <v>7</v>
      </c>
      <c r="C346" s="179" t="s">
        <v>58</v>
      </c>
      <c r="D346" s="179" t="s">
        <v>6</v>
      </c>
      <c r="E346" s="180" t="s">
        <v>306</v>
      </c>
      <c r="F346" s="179">
        <v>2020</v>
      </c>
      <c r="G346" s="181">
        <v>7105</v>
      </c>
      <c r="H346" s="181">
        <v>2994</v>
      </c>
      <c r="I346" s="181">
        <v>4111</v>
      </c>
      <c r="J346" s="181">
        <v>91965</v>
      </c>
      <c r="K346" s="181">
        <v>160</v>
      </c>
      <c r="L346" s="181">
        <v>17</v>
      </c>
      <c r="M346" s="181">
        <v>51</v>
      </c>
      <c r="N346" s="181">
        <v>5763</v>
      </c>
      <c r="O346" s="181">
        <v>334902</v>
      </c>
      <c r="P346" s="181">
        <v>3660</v>
      </c>
      <c r="Q346" s="181">
        <v>6623</v>
      </c>
      <c r="R346" s="181">
        <v>1971</v>
      </c>
      <c r="S346" s="181">
        <v>294</v>
      </c>
      <c r="T346" s="181">
        <v>6189</v>
      </c>
      <c r="U346" s="181">
        <v>2680</v>
      </c>
      <c r="V346" s="181">
        <v>1773</v>
      </c>
      <c r="W346" s="181">
        <v>1737</v>
      </c>
      <c r="X346" s="181">
        <v>1414</v>
      </c>
      <c r="Y346" s="181">
        <v>7105</v>
      </c>
      <c r="Z346" s="181">
        <v>191557280.5</v>
      </c>
      <c r="AA346" s="181">
        <v>412</v>
      </c>
      <c r="AB346" s="181">
        <v>714</v>
      </c>
      <c r="AC346" s="181">
        <v>2376</v>
      </c>
      <c r="AD346" s="181">
        <v>0</v>
      </c>
      <c r="AE346" s="181"/>
      <c r="AF346" s="181"/>
      <c r="AG346" s="181">
        <v>227</v>
      </c>
      <c r="AH346" s="181">
        <v>213</v>
      </c>
      <c r="AI346" s="181"/>
      <c r="AJ346" s="181"/>
      <c r="AK346" s="181"/>
      <c r="AL346" s="181"/>
      <c r="AM346" s="181"/>
      <c r="AN346" s="181"/>
      <c r="AO346" s="181"/>
      <c r="AP346" s="181"/>
      <c r="AQ346" s="181"/>
      <c r="AR346" s="181"/>
      <c r="AS346" s="181"/>
      <c r="AT346" s="181"/>
      <c r="AU346" s="181"/>
      <c r="AV346" s="181"/>
      <c r="AW346" s="181"/>
      <c r="AX346" s="181"/>
      <c r="AY346" s="181"/>
      <c r="AZ346" s="266"/>
      <c r="BA346" s="266"/>
      <c r="BB346" s="266"/>
    </row>
    <row r="347" spans="1:54">
      <c r="A347" s="179" t="s">
        <v>49</v>
      </c>
      <c r="B347" s="180">
        <v>8</v>
      </c>
      <c r="C347" s="179" t="s">
        <v>59</v>
      </c>
      <c r="D347" s="179" t="s">
        <v>7</v>
      </c>
      <c r="E347" s="180" t="s">
        <v>306</v>
      </c>
      <c r="F347" s="179">
        <v>2020</v>
      </c>
      <c r="G347" s="181">
        <v>8628</v>
      </c>
      <c r="H347" s="181">
        <v>3593</v>
      </c>
      <c r="I347" s="181">
        <v>5035</v>
      </c>
      <c r="J347" s="181">
        <v>56076</v>
      </c>
      <c r="K347" s="181">
        <v>154</v>
      </c>
      <c r="L347" s="181">
        <v>47</v>
      </c>
      <c r="M347" s="181">
        <v>32</v>
      </c>
      <c r="N347" s="181">
        <v>7911</v>
      </c>
      <c r="O347" s="181">
        <v>203271</v>
      </c>
      <c r="P347" s="181">
        <v>4424</v>
      </c>
      <c r="Q347" s="181">
        <v>8863</v>
      </c>
      <c r="R347" s="181">
        <v>2151</v>
      </c>
      <c r="S347" s="181">
        <v>1573</v>
      </c>
      <c r="T347" s="181">
        <v>7792</v>
      </c>
      <c r="U347" s="181">
        <v>3776</v>
      </c>
      <c r="V347" s="181">
        <v>1941</v>
      </c>
      <c r="W347" s="181">
        <v>1790</v>
      </c>
      <c r="X347" s="181">
        <v>1694</v>
      </c>
      <c r="Y347" s="181">
        <v>8628</v>
      </c>
      <c r="Z347" s="181">
        <v>182615141.44999999</v>
      </c>
      <c r="AA347" s="181">
        <v>565</v>
      </c>
      <c r="AB347" s="181">
        <v>983</v>
      </c>
      <c r="AC347" s="181">
        <v>1637</v>
      </c>
      <c r="AD347" s="181">
        <v>66</v>
      </c>
      <c r="AE347" s="181"/>
      <c r="AF347" s="181"/>
      <c r="AG347" s="181">
        <v>274</v>
      </c>
      <c r="AH347" s="181">
        <v>251</v>
      </c>
      <c r="AI347" s="181">
        <v>274</v>
      </c>
      <c r="AJ347" s="181"/>
      <c r="AK347" s="181"/>
      <c r="AL347" s="181"/>
      <c r="AM347" s="181"/>
      <c r="AN347" s="181"/>
      <c r="AO347" s="181"/>
      <c r="AP347" s="181"/>
      <c r="AQ347" s="181"/>
      <c r="AR347" s="181"/>
      <c r="AS347" s="181"/>
      <c r="AT347" s="181"/>
      <c r="AU347" s="181"/>
      <c r="AV347" s="181"/>
      <c r="AW347" s="181"/>
      <c r="AX347" s="181"/>
      <c r="AY347" s="181"/>
      <c r="AZ347" s="266"/>
      <c r="BA347" s="266"/>
      <c r="BB347" s="266"/>
    </row>
    <row r="348" spans="1:54">
      <c r="A348" s="179" t="s">
        <v>50</v>
      </c>
      <c r="B348" s="180">
        <v>9</v>
      </c>
      <c r="C348" s="179" t="s">
        <v>84</v>
      </c>
      <c r="D348" s="179" t="s">
        <v>32</v>
      </c>
      <c r="E348" s="180" t="s">
        <v>306</v>
      </c>
      <c r="F348" s="179">
        <v>2020</v>
      </c>
      <c r="G348" s="181">
        <v>45497</v>
      </c>
      <c r="H348" s="181">
        <v>18719</v>
      </c>
      <c r="I348" s="181">
        <v>26778</v>
      </c>
      <c r="J348" s="181">
        <v>135412</v>
      </c>
      <c r="K348" s="181">
        <v>584</v>
      </c>
      <c r="L348" s="181">
        <v>136</v>
      </c>
      <c r="M348" s="181">
        <v>135</v>
      </c>
      <c r="N348" s="181">
        <v>38885</v>
      </c>
      <c r="O348" s="181">
        <v>376260</v>
      </c>
      <c r="P348" s="181">
        <v>23441</v>
      </c>
      <c r="Q348" s="181">
        <v>43931</v>
      </c>
      <c r="R348" s="181">
        <v>9786</v>
      </c>
      <c r="S348" s="181">
        <v>1560</v>
      </c>
      <c r="T348" s="181">
        <v>36944</v>
      </c>
      <c r="U348" s="181">
        <v>18720</v>
      </c>
      <c r="V348" s="181">
        <v>8086</v>
      </c>
      <c r="W348" s="181">
        <v>7859</v>
      </c>
      <c r="X348" s="181">
        <v>5120</v>
      </c>
      <c r="Y348" s="181">
        <v>45497</v>
      </c>
      <c r="Z348" s="181">
        <v>694736584.94207096</v>
      </c>
      <c r="AA348" s="181">
        <v>2197</v>
      </c>
      <c r="AB348" s="181">
        <v>3705</v>
      </c>
      <c r="AC348" s="181">
        <v>1436</v>
      </c>
      <c r="AD348" s="181">
        <v>2</v>
      </c>
      <c r="AE348" s="181"/>
      <c r="AF348" s="181"/>
      <c r="AG348" s="181">
        <v>457</v>
      </c>
      <c r="AH348" s="181">
        <v>409</v>
      </c>
      <c r="AI348" s="181"/>
      <c r="AJ348" s="181"/>
      <c r="AK348" s="181"/>
      <c r="AL348" s="181"/>
      <c r="AM348" s="181"/>
      <c r="AN348" s="181"/>
      <c r="AO348" s="181"/>
      <c r="AP348" s="181"/>
      <c r="AQ348" s="181"/>
      <c r="AR348" s="181"/>
      <c r="AS348" s="181"/>
      <c r="AT348" s="181"/>
      <c r="AU348" s="181"/>
      <c r="AV348" s="181"/>
      <c r="AW348" s="181"/>
      <c r="AX348" s="181"/>
      <c r="AY348" s="181"/>
      <c r="AZ348" s="266"/>
      <c r="BA348" s="266"/>
      <c r="BB348" s="266"/>
    </row>
    <row r="349" spans="1:54">
      <c r="A349" s="179" t="s">
        <v>49</v>
      </c>
      <c r="B349" s="180">
        <v>5</v>
      </c>
      <c r="C349" s="179" t="s">
        <v>60</v>
      </c>
      <c r="D349" s="179" t="s">
        <v>31</v>
      </c>
      <c r="E349" s="180" t="s">
        <v>306</v>
      </c>
      <c r="F349" s="179">
        <v>2020</v>
      </c>
      <c r="G349" s="181">
        <v>10367</v>
      </c>
      <c r="H349" s="181">
        <v>3971</v>
      </c>
      <c r="I349" s="181">
        <v>6396</v>
      </c>
      <c r="J349" s="181">
        <v>46688</v>
      </c>
      <c r="K349" s="181">
        <v>134</v>
      </c>
      <c r="L349" s="181">
        <v>45</v>
      </c>
      <c r="M349" s="181">
        <v>37</v>
      </c>
      <c r="N349" s="181">
        <v>9745</v>
      </c>
      <c r="O349" s="181">
        <v>167040</v>
      </c>
      <c r="P349" s="181">
        <v>4868</v>
      </c>
      <c r="Q349" s="181">
        <v>10427</v>
      </c>
      <c r="R349" s="181">
        <v>3342</v>
      </c>
      <c r="S349" s="181">
        <v>344</v>
      </c>
      <c r="T349" s="181">
        <v>9837</v>
      </c>
      <c r="U349" s="181">
        <v>4262</v>
      </c>
      <c r="V349" s="181">
        <v>3172</v>
      </c>
      <c r="W349" s="181">
        <v>2399</v>
      </c>
      <c r="X349" s="181">
        <v>2397</v>
      </c>
      <c r="Y349" s="181">
        <v>10367</v>
      </c>
      <c r="Z349" s="181">
        <v>162279139.09</v>
      </c>
      <c r="AA349" s="181">
        <v>413</v>
      </c>
      <c r="AB349" s="181">
        <v>1141</v>
      </c>
      <c r="AC349" s="181">
        <v>758</v>
      </c>
      <c r="AD349" s="181">
        <v>16</v>
      </c>
      <c r="AE349" s="181"/>
      <c r="AF349" s="181"/>
      <c r="AG349" s="181">
        <v>252</v>
      </c>
      <c r="AH349" s="181">
        <v>163</v>
      </c>
      <c r="AI349" s="181"/>
      <c r="AJ349" s="181"/>
      <c r="AK349" s="181"/>
      <c r="AL349" s="181"/>
      <c r="AM349" s="181"/>
      <c r="AN349" s="181"/>
      <c r="AO349" s="181"/>
      <c r="AP349" s="181"/>
      <c r="AQ349" s="181"/>
      <c r="AR349" s="181"/>
      <c r="AS349" s="181"/>
      <c r="AT349" s="181"/>
      <c r="AU349" s="181"/>
      <c r="AV349" s="181"/>
      <c r="AW349" s="181"/>
      <c r="AX349" s="181"/>
      <c r="AY349" s="181"/>
      <c r="AZ349" s="266"/>
      <c r="BA349" s="266"/>
      <c r="BB349" s="266"/>
    </row>
    <row r="350" spans="1:54">
      <c r="A350" s="179" t="s">
        <v>49</v>
      </c>
      <c r="B350" s="180">
        <v>6</v>
      </c>
      <c r="C350" s="179" t="s">
        <v>61</v>
      </c>
      <c r="D350" s="179" t="s">
        <v>8</v>
      </c>
      <c r="E350" s="180" t="s">
        <v>306</v>
      </c>
      <c r="F350" s="179">
        <v>2020</v>
      </c>
      <c r="G350" s="181">
        <v>1849</v>
      </c>
      <c r="H350" s="181">
        <v>715</v>
      </c>
      <c r="I350" s="181">
        <v>1134</v>
      </c>
      <c r="J350" s="181">
        <v>10330</v>
      </c>
      <c r="K350" s="181">
        <v>47</v>
      </c>
      <c r="L350" s="181">
        <v>6</v>
      </c>
      <c r="M350" s="181">
        <v>11</v>
      </c>
      <c r="N350" s="181">
        <v>1231</v>
      </c>
      <c r="O350" s="181">
        <v>39611</v>
      </c>
      <c r="P350" s="181">
        <v>811</v>
      </c>
      <c r="Q350" s="181">
        <v>1934</v>
      </c>
      <c r="R350" s="181">
        <v>415</v>
      </c>
      <c r="S350" s="181">
        <v>418</v>
      </c>
      <c r="T350" s="181">
        <v>1702</v>
      </c>
      <c r="U350" s="181">
        <v>701</v>
      </c>
      <c r="V350" s="181">
        <v>349</v>
      </c>
      <c r="W350" s="181">
        <v>349</v>
      </c>
      <c r="X350" s="181">
        <v>324</v>
      </c>
      <c r="Y350" s="181">
        <v>1849</v>
      </c>
      <c r="Z350" s="181">
        <v>45312761.270000003</v>
      </c>
      <c r="AA350" s="181">
        <v>112</v>
      </c>
      <c r="AB350" s="181">
        <v>320</v>
      </c>
      <c r="AC350" s="181">
        <v>211</v>
      </c>
      <c r="AD350" s="181">
        <v>0</v>
      </c>
      <c r="AE350" s="181"/>
      <c r="AF350" s="181"/>
      <c r="AG350" s="181">
        <v>29</v>
      </c>
      <c r="AH350" s="181">
        <v>23</v>
      </c>
      <c r="AI350" s="181"/>
      <c r="AJ350" s="181"/>
      <c r="AK350" s="181"/>
      <c r="AL350" s="181"/>
      <c r="AM350" s="181"/>
      <c r="AN350" s="181"/>
      <c r="AO350" s="181"/>
      <c r="AP350" s="181"/>
      <c r="AQ350" s="181"/>
      <c r="AR350" s="181"/>
      <c r="AS350" s="181"/>
      <c r="AT350" s="181"/>
      <c r="AU350" s="181"/>
      <c r="AV350" s="181"/>
      <c r="AW350" s="181"/>
      <c r="AX350" s="181"/>
      <c r="AY350" s="181"/>
      <c r="AZ350" s="266"/>
      <c r="BA350" s="266"/>
      <c r="BB350" s="266"/>
    </row>
    <row r="351" spans="1:54">
      <c r="A351" s="179" t="s">
        <v>49</v>
      </c>
      <c r="B351" s="180">
        <v>10</v>
      </c>
      <c r="C351" s="179" t="s">
        <v>62</v>
      </c>
      <c r="D351" s="179" t="s">
        <v>9</v>
      </c>
      <c r="E351" s="180" t="s">
        <v>306</v>
      </c>
      <c r="F351" s="179">
        <v>2020</v>
      </c>
      <c r="G351" s="181">
        <v>1601</v>
      </c>
      <c r="H351" s="181">
        <v>610</v>
      </c>
      <c r="I351" s="181">
        <v>991</v>
      </c>
      <c r="J351" s="181">
        <v>27739</v>
      </c>
      <c r="K351" s="181">
        <v>51</v>
      </c>
      <c r="L351" s="181">
        <v>19</v>
      </c>
      <c r="M351" s="181">
        <v>10</v>
      </c>
      <c r="N351" s="181">
        <v>1377</v>
      </c>
      <c r="O351" s="181">
        <v>102696</v>
      </c>
      <c r="P351" s="181">
        <v>664</v>
      </c>
      <c r="Q351" s="181">
        <v>1888</v>
      </c>
      <c r="R351" s="181">
        <v>455</v>
      </c>
      <c r="S351" s="181">
        <v>322</v>
      </c>
      <c r="T351" s="181">
        <v>1606</v>
      </c>
      <c r="U351" s="181">
        <v>935</v>
      </c>
      <c r="V351" s="181">
        <v>401</v>
      </c>
      <c r="W351" s="181">
        <v>325</v>
      </c>
      <c r="X351" s="181">
        <v>202</v>
      </c>
      <c r="Y351" s="181">
        <v>1601</v>
      </c>
      <c r="Z351" s="181">
        <v>44478262.770000003</v>
      </c>
      <c r="AA351" s="181">
        <v>156</v>
      </c>
      <c r="AB351" s="181">
        <v>260</v>
      </c>
      <c r="AC351" s="181">
        <v>953</v>
      </c>
      <c r="AD351" s="181">
        <v>0</v>
      </c>
      <c r="AE351" s="181"/>
      <c r="AF351" s="181"/>
      <c r="AG351" s="181">
        <v>269</v>
      </c>
      <c r="AH351" s="181">
        <v>215</v>
      </c>
      <c r="AI351" s="181"/>
      <c r="AJ351" s="181"/>
      <c r="AK351" s="181"/>
      <c r="AL351" s="181"/>
      <c r="AM351" s="181"/>
      <c r="AN351" s="181"/>
      <c r="AO351" s="181"/>
      <c r="AP351" s="181"/>
      <c r="AQ351" s="181"/>
      <c r="AR351" s="181"/>
      <c r="AS351" s="181"/>
      <c r="AT351" s="181"/>
      <c r="AU351" s="181"/>
      <c r="AV351" s="181"/>
      <c r="AW351" s="181"/>
      <c r="AX351" s="181"/>
      <c r="AY351" s="181"/>
      <c r="AZ351" s="266"/>
      <c r="BA351" s="266"/>
      <c r="BB351" s="266"/>
    </row>
    <row r="352" spans="1:54">
      <c r="A352" s="179" t="s">
        <v>49</v>
      </c>
      <c r="B352" s="180">
        <v>11</v>
      </c>
      <c r="C352" s="179" t="s">
        <v>63</v>
      </c>
      <c r="D352" s="179" t="s">
        <v>10</v>
      </c>
      <c r="E352" s="180" t="s">
        <v>306</v>
      </c>
      <c r="F352" s="179">
        <v>2020</v>
      </c>
      <c r="G352" s="181">
        <v>17465</v>
      </c>
      <c r="H352" s="181">
        <v>6564</v>
      </c>
      <c r="I352" s="181">
        <v>10901</v>
      </c>
      <c r="J352" s="181">
        <v>98268</v>
      </c>
      <c r="K352" s="181">
        <v>308</v>
      </c>
      <c r="L352" s="181">
        <v>90</v>
      </c>
      <c r="M352" s="181">
        <v>82</v>
      </c>
      <c r="N352" s="181">
        <v>16095</v>
      </c>
      <c r="O352" s="181">
        <v>340307</v>
      </c>
      <c r="P352" s="181">
        <v>7885</v>
      </c>
      <c r="Q352" s="181">
        <v>18159</v>
      </c>
      <c r="R352" s="181">
        <v>5451</v>
      </c>
      <c r="S352" s="181">
        <v>304</v>
      </c>
      <c r="T352" s="181">
        <v>16992</v>
      </c>
      <c r="U352" s="181">
        <v>7538</v>
      </c>
      <c r="V352" s="181">
        <v>5149</v>
      </c>
      <c r="W352" s="181">
        <v>4547</v>
      </c>
      <c r="X352" s="181">
        <v>4297</v>
      </c>
      <c r="Y352" s="181">
        <v>17465</v>
      </c>
      <c r="Z352" s="181">
        <v>280644554.99000001</v>
      </c>
      <c r="AA352" s="181">
        <v>842</v>
      </c>
      <c r="AB352" s="181">
        <v>2187</v>
      </c>
      <c r="AC352" s="181">
        <v>3416</v>
      </c>
      <c r="AD352" s="181">
        <v>48</v>
      </c>
      <c r="AE352" s="181"/>
      <c r="AF352" s="181"/>
      <c r="AG352" s="181">
        <v>184</v>
      </c>
      <c r="AH352" s="181">
        <v>169</v>
      </c>
      <c r="AI352" s="181">
        <v>4101</v>
      </c>
      <c r="AJ352" s="181"/>
      <c r="AK352" s="181"/>
      <c r="AL352" s="181"/>
      <c r="AM352" s="181"/>
      <c r="AN352" s="181"/>
      <c r="AO352" s="181"/>
      <c r="AP352" s="181"/>
      <c r="AQ352" s="181"/>
      <c r="AR352" s="181"/>
      <c r="AS352" s="181"/>
      <c r="AT352" s="181"/>
      <c r="AU352" s="181"/>
      <c r="AV352" s="181"/>
      <c r="AW352" s="181"/>
      <c r="AX352" s="181"/>
      <c r="AY352" s="181"/>
      <c r="AZ352" s="266"/>
      <c r="BA352" s="266"/>
      <c r="BB352" s="266"/>
    </row>
    <row r="353" spans="1:54">
      <c r="A353" s="179" t="s">
        <v>49</v>
      </c>
      <c r="B353" s="180">
        <v>12</v>
      </c>
      <c r="C353" s="179" t="s">
        <v>64</v>
      </c>
      <c r="D353" s="179" t="s">
        <v>11</v>
      </c>
      <c r="E353" s="180" t="s">
        <v>306</v>
      </c>
      <c r="F353" s="179">
        <v>2020</v>
      </c>
      <c r="G353" s="181">
        <v>5983</v>
      </c>
      <c r="H353" s="181">
        <v>2235</v>
      </c>
      <c r="I353" s="181">
        <v>3748</v>
      </c>
      <c r="J353" s="181">
        <v>61057</v>
      </c>
      <c r="K353" s="181">
        <v>134</v>
      </c>
      <c r="L353" s="181">
        <v>26</v>
      </c>
      <c r="M353" s="181">
        <v>41</v>
      </c>
      <c r="N353" s="181">
        <v>5253</v>
      </c>
      <c r="O353" s="181">
        <v>210110</v>
      </c>
      <c r="P353" s="181">
        <v>2831</v>
      </c>
      <c r="Q353" s="181">
        <v>6068</v>
      </c>
      <c r="R353" s="181">
        <v>1536</v>
      </c>
      <c r="S353" s="181">
        <v>1218</v>
      </c>
      <c r="T353" s="181">
        <v>5580</v>
      </c>
      <c r="U353" s="181">
        <v>2421</v>
      </c>
      <c r="V353" s="181">
        <v>1392</v>
      </c>
      <c r="W353" s="181">
        <v>1372</v>
      </c>
      <c r="X353" s="181">
        <v>1088</v>
      </c>
      <c r="Y353" s="181">
        <v>5983</v>
      </c>
      <c r="Z353" s="181">
        <v>155449233.13</v>
      </c>
      <c r="AA353" s="181">
        <v>294</v>
      </c>
      <c r="AB353" s="181">
        <v>719</v>
      </c>
      <c r="AC353" s="181">
        <v>10990</v>
      </c>
      <c r="AD353" s="181">
        <v>78</v>
      </c>
      <c r="AE353" s="181"/>
      <c r="AF353" s="181"/>
      <c r="AG353" s="181">
        <v>232</v>
      </c>
      <c r="AH353" s="181">
        <v>228</v>
      </c>
      <c r="AI353" s="181"/>
      <c r="AJ353" s="181"/>
      <c r="AK353" s="181"/>
      <c r="AL353" s="181"/>
      <c r="AM353" s="181"/>
      <c r="AN353" s="181"/>
      <c r="AO353" s="181"/>
      <c r="AP353" s="181"/>
      <c r="AQ353" s="181"/>
      <c r="AR353" s="181"/>
      <c r="AS353" s="181"/>
      <c r="AT353" s="181"/>
      <c r="AU353" s="181"/>
      <c r="AV353" s="181"/>
      <c r="AW353" s="181"/>
      <c r="AX353" s="181"/>
      <c r="AY353" s="181"/>
      <c r="AZ353" s="266"/>
      <c r="BA353" s="266"/>
      <c r="BB353" s="266"/>
    </row>
    <row r="354" spans="1:54">
      <c r="A354" s="179" t="s">
        <v>49</v>
      </c>
      <c r="B354" s="180">
        <v>13</v>
      </c>
      <c r="C354" s="179" t="s">
        <v>65</v>
      </c>
      <c r="D354" s="179" t="s">
        <v>12</v>
      </c>
      <c r="E354" s="180" t="s">
        <v>306</v>
      </c>
      <c r="F354" s="179">
        <v>2020</v>
      </c>
      <c r="G354" s="181">
        <v>3744</v>
      </c>
      <c r="H354" s="181">
        <v>1506</v>
      </c>
      <c r="I354" s="181">
        <v>2238</v>
      </c>
      <c r="J354" s="181">
        <v>53818</v>
      </c>
      <c r="K354" s="181">
        <v>72</v>
      </c>
      <c r="L354" s="181">
        <v>37</v>
      </c>
      <c r="M354" s="181">
        <v>17</v>
      </c>
      <c r="N354" s="181">
        <v>3372</v>
      </c>
      <c r="O354" s="181">
        <v>164914</v>
      </c>
      <c r="P354" s="181">
        <v>1977</v>
      </c>
      <c r="Q354" s="181">
        <v>3685</v>
      </c>
      <c r="R354" s="181">
        <v>993</v>
      </c>
      <c r="S354" s="181">
        <v>63</v>
      </c>
      <c r="T354" s="181">
        <v>3294</v>
      </c>
      <c r="U354" s="181">
        <v>1434</v>
      </c>
      <c r="V354" s="181">
        <v>864</v>
      </c>
      <c r="W354" s="181">
        <v>819</v>
      </c>
      <c r="X354" s="181">
        <v>805</v>
      </c>
      <c r="Y354" s="181">
        <v>3744</v>
      </c>
      <c r="Z354" s="181">
        <v>69386541.359999999</v>
      </c>
      <c r="AA354" s="181">
        <v>200</v>
      </c>
      <c r="AB354" s="181">
        <v>428</v>
      </c>
      <c r="AC354" s="181">
        <v>188</v>
      </c>
      <c r="AD354" s="181">
        <v>0</v>
      </c>
      <c r="AE354" s="181"/>
      <c r="AF354" s="181"/>
      <c r="AG354" s="181">
        <v>98</v>
      </c>
      <c r="AH354" s="181">
        <v>69</v>
      </c>
      <c r="AI354" s="181"/>
      <c r="AJ354" s="181"/>
      <c r="AK354" s="181"/>
      <c r="AL354" s="181"/>
      <c r="AM354" s="181"/>
      <c r="AN354" s="181"/>
      <c r="AO354" s="181"/>
      <c r="AP354" s="181"/>
      <c r="AQ354" s="181"/>
      <c r="AR354" s="181"/>
      <c r="AS354" s="181"/>
      <c r="AT354" s="181"/>
      <c r="AU354" s="181"/>
      <c r="AV354" s="181"/>
      <c r="AW354" s="181"/>
      <c r="AX354" s="181"/>
      <c r="AY354" s="181"/>
      <c r="AZ354" s="266"/>
      <c r="BA354" s="266"/>
      <c r="BB354" s="266"/>
    </row>
    <row r="355" spans="1:54">
      <c r="A355" s="179" t="s">
        <v>49</v>
      </c>
      <c r="B355" s="180">
        <v>14</v>
      </c>
      <c r="C355" s="179" t="s">
        <v>66</v>
      </c>
      <c r="D355" s="179" t="s">
        <v>13</v>
      </c>
      <c r="E355" s="180" t="s">
        <v>306</v>
      </c>
      <c r="F355" s="179">
        <v>2020</v>
      </c>
      <c r="G355" s="181">
        <v>13609</v>
      </c>
      <c r="H355" s="181">
        <v>5237</v>
      </c>
      <c r="I355" s="181">
        <v>8372</v>
      </c>
      <c r="J355" s="181">
        <v>124747</v>
      </c>
      <c r="K355" s="181">
        <v>273</v>
      </c>
      <c r="L355" s="181">
        <v>38</v>
      </c>
      <c r="M355" s="181">
        <v>64</v>
      </c>
      <c r="N355" s="181">
        <v>11518</v>
      </c>
      <c r="O355" s="181">
        <v>445737</v>
      </c>
      <c r="P355" s="181">
        <v>5334</v>
      </c>
      <c r="Q355" s="181">
        <v>13794</v>
      </c>
      <c r="R355" s="181">
        <v>3657</v>
      </c>
      <c r="S355" s="181">
        <v>1951</v>
      </c>
      <c r="T355" s="181">
        <v>12643</v>
      </c>
      <c r="U355" s="181">
        <v>5950</v>
      </c>
      <c r="V355" s="181">
        <v>3267</v>
      </c>
      <c r="W355" s="181">
        <v>3037</v>
      </c>
      <c r="X355" s="181">
        <v>2546</v>
      </c>
      <c r="Y355" s="181">
        <v>13609</v>
      </c>
      <c r="Z355" s="181">
        <v>284931568.99000001</v>
      </c>
      <c r="AA355" s="181">
        <v>784</v>
      </c>
      <c r="AB355" s="181">
        <v>2084</v>
      </c>
      <c r="AC355" s="181">
        <v>5734</v>
      </c>
      <c r="AD355" s="181">
        <v>99</v>
      </c>
      <c r="AE355" s="181"/>
      <c r="AF355" s="181"/>
      <c r="AG355" s="181">
        <v>296</v>
      </c>
      <c r="AH355" s="181">
        <v>187</v>
      </c>
      <c r="AI355" s="181">
        <v>802</v>
      </c>
      <c r="AJ355" s="181"/>
      <c r="AK355" s="181"/>
      <c r="AL355" s="181"/>
      <c r="AM355" s="181"/>
      <c r="AN355" s="181"/>
      <c r="AO355" s="181"/>
      <c r="AP355" s="181"/>
      <c r="AQ355" s="181"/>
      <c r="AR355" s="181"/>
      <c r="AS355" s="181"/>
      <c r="AT355" s="181"/>
      <c r="AU355" s="181"/>
      <c r="AV355" s="181"/>
      <c r="AW355" s="181"/>
      <c r="AX355" s="181"/>
      <c r="AY355" s="181"/>
      <c r="AZ355" s="266"/>
      <c r="BA355" s="266"/>
      <c r="BB355" s="266"/>
    </row>
    <row r="356" spans="1:54">
      <c r="A356" s="179" t="s">
        <v>49</v>
      </c>
      <c r="B356" s="180">
        <v>15</v>
      </c>
      <c r="C356" s="179" t="s">
        <v>67</v>
      </c>
      <c r="D356" s="179" t="s">
        <v>14</v>
      </c>
      <c r="E356" s="180" t="s">
        <v>306</v>
      </c>
      <c r="F356" s="179">
        <v>2020</v>
      </c>
      <c r="G356" s="181">
        <v>47010</v>
      </c>
      <c r="H356" s="181">
        <v>18736</v>
      </c>
      <c r="I356" s="181">
        <v>28274</v>
      </c>
      <c r="J356" s="181">
        <v>276491</v>
      </c>
      <c r="K356" s="181">
        <v>794</v>
      </c>
      <c r="L356" s="181">
        <v>186</v>
      </c>
      <c r="M356" s="181">
        <v>203</v>
      </c>
      <c r="N356" s="181">
        <v>42594</v>
      </c>
      <c r="O356" s="181">
        <v>889721</v>
      </c>
      <c r="P356" s="181">
        <v>18749</v>
      </c>
      <c r="Q356" s="181">
        <v>47114</v>
      </c>
      <c r="R356" s="181">
        <v>11459</v>
      </c>
      <c r="S356" s="181">
        <v>4493</v>
      </c>
      <c r="T356" s="181">
        <v>42681</v>
      </c>
      <c r="U356" s="181">
        <v>18859</v>
      </c>
      <c r="V356" s="181">
        <v>9977</v>
      </c>
      <c r="W356" s="181">
        <v>10113</v>
      </c>
      <c r="X356" s="181">
        <v>7757</v>
      </c>
      <c r="Y356" s="181">
        <v>47010</v>
      </c>
      <c r="Z356" s="181">
        <v>820472812.96000004</v>
      </c>
      <c r="AA356" s="181">
        <v>2152</v>
      </c>
      <c r="AB356" s="181">
        <v>4445</v>
      </c>
      <c r="AC356" s="181">
        <v>3921</v>
      </c>
      <c r="AD356" s="181">
        <v>66</v>
      </c>
      <c r="AE356" s="181"/>
      <c r="AF356" s="181"/>
      <c r="AG356" s="181">
        <v>27394</v>
      </c>
      <c r="AH356" s="181">
        <v>18550</v>
      </c>
      <c r="AI356" s="181">
        <v>969</v>
      </c>
      <c r="AJ356" s="181"/>
      <c r="AK356" s="181"/>
      <c r="AL356" s="181"/>
      <c r="AM356" s="181"/>
      <c r="AN356" s="181"/>
      <c r="AO356" s="181"/>
      <c r="AP356" s="181"/>
      <c r="AQ356" s="181"/>
      <c r="AR356" s="181"/>
      <c r="AS356" s="181"/>
      <c r="AT356" s="181"/>
      <c r="AU356" s="181"/>
      <c r="AV356" s="181"/>
      <c r="AW356" s="181"/>
      <c r="AX356" s="181"/>
      <c r="AY356" s="181"/>
    </row>
    <row r="357" spans="1:54">
      <c r="A357" s="179" t="s">
        <v>49</v>
      </c>
      <c r="B357" s="180">
        <v>16</v>
      </c>
      <c r="C357" s="179" t="s">
        <v>68</v>
      </c>
      <c r="D357" s="179" t="s">
        <v>30</v>
      </c>
      <c r="E357" s="180" t="s">
        <v>306</v>
      </c>
      <c r="F357" s="179">
        <v>2020</v>
      </c>
      <c r="G357" s="181">
        <v>11062</v>
      </c>
      <c r="H357" s="181">
        <v>4264</v>
      </c>
      <c r="I357" s="181">
        <v>6798</v>
      </c>
      <c r="J357" s="181">
        <v>62719</v>
      </c>
      <c r="K357" s="181">
        <v>244</v>
      </c>
      <c r="L357" s="181">
        <v>53</v>
      </c>
      <c r="M357" s="181">
        <v>67</v>
      </c>
      <c r="N357" s="181">
        <v>9706</v>
      </c>
      <c r="O357" s="181">
        <v>259833</v>
      </c>
      <c r="P357" s="181">
        <v>4793</v>
      </c>
      <c r="Q357" s="181">
        <v>11091</v>
      </c>
      <c r="R357" s="181">
        <v>2982</v>
      </c>
      <c r="S357" s="181">
        <v>473</v>
      </c>
      <c r="T357" s="181">
        <v>10145</v>
      </c>
      <c r="U357" s="181">
        <v>4573</v>
      </c>
      <c r="V357" s="181">
        <v>2596</v>
      </c>
      <c r="W357" s="181">
        <v>2470</v>
      </c>
      <c r="X357" s="181">
        <v>2182</v>
      </c>
      <c r="Y357" s="181">
        <v>11062</v>
      </c>
      <c r="Z357" s="181">
        <v>222481710.09999999</v>
      </c>
      <c r="AA357" s="181">
        <v>450</v>
      </c>
      <c r="AB357" s="181">
        <v>1204</v>
      </c>
      <c r="AC357" s="181">
        <v>691</v>
      </c>
      <c r="AD357" s="181">
        <v>17</v>
      </c>
      <c r="AE357" s="181"/>
      <c r="AF357" s="181"/>
      <c r="AG357" s="181">
        <v>11171</v>
      </c>
      <c r="AH357" s="181">
        <v>10045</v>
      </c>
      <c r="AI357" s="181"/>
      <c r="AJ357" s="181"/>
      <c r="AK357" s="181"/>
      <c r="AL357" s="181"/>
      <c r="AM357" s="181"/>
      <c r="AN357" s="181"/>
      <c r="AO357" s="181"/>
      <c r="AP357" s="181"/>
      <c r="AQ357" s="181"/>
      <c r="AR357" s="181"/>
      <c r="AS357" s="181"/>
      <c r="AT357" s="181"/>
      <c r="AU357" s="181"/>
      <c r="AV357" s="181"/>
      <c r="AW357" s="181"/>
      <c r="AX357" s="181"/>
      <c r="AY357" s="181"/>
    </row>
    <row r="358" spans="1:54">
      <c r="A358" s="179" t="s">
        <v>49</v>
      </c>
      <c r="B358" s="180">
        <v>17</v>
      </c>
      <c r="C358" s="179" t="s">
        <v>69</v>
      </c>
      <c r="D358" s="179" t="s">
        <v>15</v>
      </c>
      <c r="E358" s="180" t="s">
        <v>306</v>
      </c>
      <c r="F358" s="179">
        <v>2020</v>
      </c>
      <c r="G358" s="181">
        <v>4340</v>
      </c>
      <c r="H358" s="181">
        <v>1822</v>
      </c>
      <c r="I358" s="181">
        <v>2518</v>
      </c>
      <c r="J358" s="181">
        <v>29866</v>
      </c>
      <c r="K358" s="181">
        <v>74</v>
      </c>
      <c r="L358" s="181">
        <v>17</v>
      </c>
      <c r="M358" s="181">
        <v>13</v>
      </c>
      <c r="N358" s="181">
        <v>3851</v>
      </c>
      <c r="O358" s="181">
        <v>102991</v>
      </c>
      <c r="P358" s="181">
        <v>2117</v>
      </c>
      <c r="Q358" s="181">
        <v>4522</v>
      </c>
      <c r="R358" s="181">
        <v>1065</v>
      </c>
      <c r="S358" s="181">
        <v>929</v>
      </c>
      <c r="T358" s="181">
        <v>3866</v>
      </c>
      <c r="U358" s="181">
        <v>1947</v>
      </c>
      <c r="V358" s="181">
        <v>981</v>
      </c>
      <c r="W358" s="181">
        <v>1085</v>
      </c>
      <c r="X358" s="181">
        <v>901</v>
      </c>
      <c r="Y358" s="181">
        <v>4340</v>
      </c>
      <c r="Z358" s="181">
        <v>76088741.829999998</v>
      </c>
      <c r="AA358" s="181">
        <v>240</v>
      </c>
      <c r="AB358" s="181">
        <v>532</v>
      </c>
      <c r="AC358" s="181">
        <v>1370</v>
      </c>
      <c r="AD358" s="181">
        <v>40</v>
      </c>
      <c r="AE358" s="181"/>
      <c r="AF358" s="181"/>
      <c r="AG358" s="181">
        <v>1665</v>
      </c>
      <c r="AH358" s="181">
        <v>1663</v>
      </c>
      <c r="AI358" s="181"/>
      <c r="AJ358" s="181"/>
      <c r="AK358" s="181"/>
      <c r="AL358" s="181"/>
      <c r="AM358" s="181"/>
      <c r="AN358" s="181"/>
      <c r="AO358" s="181"/>
      <c r="AP358" s="181"/>
      <c r="AQ358" s="181"/>
      <c r="AR358" s="181"/>
      <c r="AS358" s="181"/>
      <c r="AT358" s="181"/>
      <c r="AU358" s="181"/>
      <c r="AV358" s="181"/>
      <c r="AW358" s="181"/>
      <c r="AX358" s="181"/>
      <c r="AY358" s="181"/>
    </row>
    <row r="359" spans="1:54">
      <c r="A359" s="179" t="s">
        <v>49</v>
      </c>
      <c r="B359" s="180">
        <v>18</v>
      </c>
      <c r="C359" s="179" t="s">
        <v>70</v>
      </c>
      <c r="D359" s="179" t="s">
        <v>16</v>
      </c>
      <c r="E359" s="180" t="s">
        <v>306</v>
      </c>
      <c r="F359" s="179">
        <v>2020</v>
      </c>
      <c r="G359" s="181">
        <v>2894</v>
      </c>
      <c r="H359" s="181">
        <v>1236</v>
      </c>
      <c r="I359" s="181">
        <v>1658</v>
      </c>
      <c r="J359" s="181">
        <v>18968</v>
      </c>
      <c r="K359" s="181">
        <v>59</v>
      </c>
      <c r="L359" s="181">
        <v>10</v>
      </c>
      <c r="M359" s="181">
        <v>14</v>
      </c>
      <c r="N359" s="181">
        <v>2760</v>
      </c>
      <c r="O359" s="181">
        <v>67902</v>
      </c>
      <c r="P359" s="181">
        <v>1395</v>
      </c>
      <c r="Q359" s="181">
        <v>2934</v>
      </c>
      <c r="R359" s="181">
        <v>632</v>
      </c>
      <c r="S359" s="181">
        <v>551</v>
      </c>
      <c r="T359" s="181">
        <v>2463</v>
      </c>
      <c r="U359" s="181">
        <v>1127</v>
      </c>
      <c r="V359" s="181">
        <v>568</v>
      </c>
      <c r="W359" s="181">
        <v>682</v>
      </c>
      <c r="X359" s="181">
        <v>498</v>
      </c>
      <c r="Y359" s="181">
        <v>2894</v>
      </c>
      <c r="Z359" s="181">
        <v>57023324.170000002</v>
      </c>
      <c r="AA359" s="181">
        <v>145</v>
      </c>
      <c r="AB359" s="181">
        <v>361</v>
      </c>
      <c r="AC359" s="181">
        <v>1824</v>
      </c>
      <c r="AD359" s="181">
        <v>22</v>
      </c>
      <c r="AE359" s="181"/>
      <c r="AF359" s="181"/>
      <c r="AG359" s="181">
        <v>53</v>
      </c>
      <c r="AH359" s="181">
        <v>49</v>
      </c>
      <c r="AI359" s="181"/>
      <c r="AJ359" s="181"/>
      <c r="AK359" s="181"/>
      <c r="AL359" s="181"/>
      <c r="AM359" s="181"/>
      <c r="AN359" s="181"/>
      <c r="AO359" s="181"/>
      <c r="AP359" s="181"/>
      <c r="AQ359" s="181"/>
      <c r="AR359" s="181"/>
      <c r="AS359" s="181"/>
      <c r="AT359" s="181"/>
      <c r="AU359" s="181"/>
      <c r="AV359" s="181"/>
      <c r="AW359" s="181"/>
      <c r="AX359" s="181"/>
      <c r="AY359" s="181"/>
    </row>
    <row r="360" spans="1:54">
      <c r="A360" s="179" t="s">
        <v>49</v>
      </c>
      <c r="B360" s="180">
        <v>19</v>
      </c>
      <c r="C360" s="179" t="s">
        <v>71</v>
      </c>
      <c r="D360" s="179" t="s">
        <v>17</v>
      </c>
      <c r="E360" s="180" t="s">
        <v>306</v>
      </c>
      <c r="F360" s="179">
        <v>2020</v>
      </c>
      <c r="G360" s="181">
        <v>21963</v>
      </c>
      <c r="H360" s="181">
        <v>7558</v>
      </c>
      <c r="I360" s="181">
        <v>14405</v>
      </c>
      <c r="J360" s="181">
        <v>83533</v>
      </c>
      <c r="K360" s="181">
        <v>298</v>
      </c>
      <c r="L360" s="181">
        <v>78</v>
      </c>
      <c r="M360" s="181">
        <v>81</v>
      </c>
      <c r="N360" s="181">
        <v>18651</v>
      </c>
      <c r="O360" s="181">
        <v>282970</v>
      </c>
      <c r="P360" s="181">
        <v>8961</v>
      </c>
      <c r="Q360" s="181">
        <v>22276</v>
      </c>
      <c r="R360" s="181">
        <v>6434</v>
      </c>
      <c r="S360" s="181">
        <v>1207</v>
      </c>
      <c r="T360" s="181">
        <v>21094</v>
      </c>
      <c r="U360" s="181">
        <v>8908</v>
      </c>
      <c r="V360" s="181">
        <v>5889</v>
      </c>
      <c r="W360" s="181">
        <v>5075</v>
      </c>
      <c r="X360" s="181">
        <v>4853</v>
      </c>
      <c r="Y360" s="181">
        <v>21963</v>
      </c>
      <c r="Z360" s="181">
        <v>260039074.38</v>
      </c>
      <c r="AA360" s="181">
        <v>1039</v>
      </c>
      <c r="AB360" s="181">
        <v>1549</v>
      </c>
      <c r="AC360" s="181">
        <v>21320</v>
      </c>
      <c r="AD360" s="181">
        <v>183</v>
      </c>
      <c r="AE360" s="181"/>
      <c r="AF360" s="181"/>
      <c r="AG360" s="181">
        <v>61758</v>
      </c>
      <c r="AH360" s="181">
        <v>46714</v>
      </c>
      <c r="AI360" s="181">
        <v>245</v>
      </c>
      <c r="AJ360" s="181"/>
      <c r="AK360" s="181"/>
      <c r="AL360" s="181"/>
      <c r="AM360" s="181"/>
      <c r="AN360" s="181"/>
      <c r="AO360" s="181"/>
      <c r="AP360" s="181"/>
      <c r="AQ360" s="181"/>
      <c r="AR360" s="181"/>
      <c r="AS360" s="181"/>
      <c r="AT360" s="181"/>
      <c r="AU360" s="181"/>
      <c r="AV360" s="181"/>
      <c r="AW360" s="181"/>
      <c r="AX360" s="181"/>
      <c r="AY360" s="181"/>
    </row>
    <row r="361" spans="1:54">
      <c r="A361" s="179" t="s">
        <v>50</v>
      </c>
      <c r="B361" s="180">
        <v>20</v>
      </c>
      <c r="C361" s="179" t="s">
        <v>85</v>
      </c>
      <c r="D361" s="179" t="s">
        <v>28</v>
      </c>
      <c r="E361" s="180" t="s">
        <v>306</v>
      </c>
      <c r="F361" s="179">
        <v>2020</v>
      </c>
      <c r="G361" s="181">
        <v>6354</v>
      </c>
      <c r="H361" s="181">
        <v>2533</v>
      </c>
      <c r="I361" s="181">
        <v>3821</v>
      </c>
      <c r="J361" s="181">
        <v>67215</v>
      </c>
      <c r="K361" s="181">
        <v>121</v>
      </c>
      <c r="L361" s="181">
        <v>24</v>
      </c>
      <c r="M361" s="181">
        <v>31</v>
      </c>
      <c r="N361" s="181">
        <v>5546</v>
      </c>
      <c r="O361" s="181">
        <v>229703</v>
      </c>
      <c r="P361" s="181">
        <v>3073</v>
      </c>
      <c r="Q361" s="181">
        <v>6300</v>
      </c>
      <c r="R361" s="181">
        <v>1372</v>
      </c>
      <c r="S361" s="181">
        <v>1103</v>
      </c>
      <c r="T361" s="181">
        <v>5608</v>
      </c>
      <c r="U361" s="181">
        <v>2314</v>
      </c>
      <c r="V361" s="181">
        <v>1223</v>
      </c>
      <c r="W361" s="181">
        <v>1392</v>
      </c>
      <c r="X361" s="181">
        <v>923</v>
      </c>
      <c r="Y361" s="181">
        <v>6354</v>
      </c>
      <c r="Z361" s="181">
        <v>199418530.940263</v>
      </c>
      <c r="AA361" s="181">
        <v>391</v>
      </c>
      <c r="AB361" s="181">
        <v>637</v>
      </c>
      <c r="AC361" s="181">
        <v>811</v>
      </c>
      <c r="AD361" s="181">
        <v>0</v>
      </c>
      <c r="AE361" s="181"/>
      <c r="AF361" s="181"/>
      <c r="AG361" s="181">
        <v>213</v>
      </c>
      <c r="AH361" s="181">
        <v>152</v>
      </c>
      <c r="AI361" s="181"/>
      <c r="AJ361" s="181"/>
      <c r="AK361" s="181"/>
      <c r="AL361" s="181"/>
      <c r="AM361" s="181"/>
      <c r="AN361" s="181"/>
      <c r="AO361" s="181"/>
      <c r="AP361" s="181"/>
      <c r="AQ361" s="181"/>
      <c r="AR361" s="181"/>
      <c r="AS361" s="181"/>
      <c r="AT361" s="181"/>
      <c r="AU361" s="181"/>
      <c r="AV361" s="181"/>
      <c r="AW361" s="181"/>
      <c r="AX361" s="181"/>
      <c r="AY361" s="181"/>
    </row>
    <row r="362" spans="1:54">
      <c r="A362" s="179" t="s">
        <v>49</v>
      </c>
      <c r="B362" s="180">
        <v>21</v>
      </c>
      <c r="C362" s="179" t="s">
        <v>72</v>
      </c>
      <c r="D362" s="179" t="s">
        <v>18</v>
      </c>
      <c r="E362" s="180" t="s">
        <v>306</v>
      </c>
      <c r="F362" s="179">
        <v>2020</v>
      </c>
      <c r="G362" s="181">
        <v>7329</v>
      </c>
      <c r="H362" s="181">
        <v>2792</v>
      </c>
      <c r="I362" s="181">
        <v>4537</v>
      </c>
      <c r="J362" s="181">
        <v>108636</v>
      </c>
      <c r="K362" s="181">
        <v>151</v>
      </c>
      <c r="L362" s="181">
        <v>41</v>
      </c>
      <c r="M362" s="181">
        <v>39</v>
      </c>
      <c r="N362" s="181">
        <v>6511</v>
      </c>
      <c r="O362" s="181">
        <v>368133</v>
      </c>
      <c r="P362" s="181">
        <v>3656</v>
      </c>
      <c r="Q362" s="181">
        <v>7203</v>
      </c>
      <c r="R362" s="181">
        <v>2133</v>
      </c>
      <c r="S362" s="181">
        <v>11</v>
      </c>
      <c r="T362" s="181">
        <v>6789</v>
      </c>
      <c r="U362" s="181">
        <v>2917</v>
      </c>
      <c r="V362" s="181">
        <v>1948</v>
      </c>
      <c r="W362" s="181">
        <v>1740</v>
      </c>
      <c r="X362" s="181">
        <v>1485</v>
      </c>
      <c r="Y362" s="181">
        <v>7329</v>
      </c>
      <c r="Z362" s="181">
        <v>163232003.55000001</v>
      </c>
      <c r="AA362" s="181">
        <v>398</v>
      </c>
      <c r="AB362" s="181">
        <v>1005</v>
      </c>
      <c r="AC362" s="181">
        <v>1560</v>
      </c>
      <c r="AD362" s="181">
        <v>56</v>
      </c>
      <c r="AE362" s="181"/>
      <c r="AF362" s="181"/>
      <c r="AG362" s="181">
        <v>245</v>
      </c>
      <c r="AH362" s="181">
        <v>184</v>
      </c>
      <c r="AI362" s="181"/>
      <c r="AJ362" s="181"/>
      <c r="AK362" s="181"/>
      <c r="AL362" s="181"/>
      <c r="AM362" s="181"/>
      <c r="AN362" s="181"/>
      <c r="AO362" s="181"/>
      <c r="AP362" s="181"/>
      <c r="AQ362" s="181"/>
      <c r="AR362" s="181"/>
      <c r="AS362" s="181"/>
      <c r="AT362" s="181"/>
      <c r="AU362" s="181"/>
      <c r="AV362" s="181"/>
      <c r="AW362" s="181"/>
      <c r="AX362" s="181"/>
      <c r="AY362" s="181"/>
    </row>
    <row r="363" spans="1:54">
      <c r="A363" s="179" t="s">
        <v>49</v>
      </c>
      <c r="B363" s="180">
        <v>22</v>
      </c>
      <c r="C363" s="179" t="s">
        <v>73</v>
      </c>
      <c r="D363" s="179" t="s">
        <v>29</v>
      </c>
      <c r="E363" s="180" t="s">
        <v>306</v>
      </c>
      <c r="F363" s="179">
        <v>2020</v>
      </c>
      <c r="G363" s="181">
        <v>3502</v>
      </c>
      <c r="H363" s="181">
        <v>1525</v>
      </c>
      <c r="I363" s="181">
        <v>1977</v>
      </c>
      <c r="J363" s="181">
        <v>34990</v>
      </c>
      <c r="K363" s="181">
        <v>67</v>
      </c>
      <c r="L363" s="181">
        <v>23</v>
      </c>
      <c r="M363" s="181">
        <v>26</v>
      </c>
      <c r="N363" s="181">
        <v>3248</v>
      </c>
      <c r="O363" s="181">
        <v>120150</v>
      </c>
      <c r="P363" s="181">
        <v>2230</v>
      </c>
      <c r="Q363" s="181">
        <v>3388</v>
      </c>
      <c r="R363" s="181">
        <v>943</v>
      </c>
      <c r="S363" s="181">
        <v>701</v>
      </c>
      <c r="T363" s="181">
        <v>3174</v>
      </c>
      <c r="U363" s="181">
        <v>1463</v>
      </c>
      <c r="V363" s="181">
        <v>883</v>
      </c>
      <c r="W363" s="181">
        <v>854</v>
      </c>
      <c r="X363" s="181">
        <v>819</v>
      </c>
      <c r="Y363" s="181">
        <v>3502</v>
      </c>
      <c r="Z363" s="181">
        <v>57877589.619999997</v>
      </c>
      <c r="AA363" s="181">
        <v>248</v>
      </c>
      <c r="AB363" s="181">
        <v>449</v>
      </c>
      <c r="AC363" s="181">
        <v>158</v>
      </c>
      <c r="AD363" s="181">
        <v>0</v>
      </c>
      <c r="AE363" s="181"/>
      <c r="AF363" s="181"/>
      <c r="AG363" s="181">
        <v>98</v>
      </c>
      <c r="AH363" s="181">
        <v>81</v>
      </c>
      <c r="AI363" s="181"/>
      <c r="AJ363" s="181"/>
      <c r="AK363" s="181"/>
      <c r="AL363" s="181"/>
      <c r="AM363" s="181"/>
      <c r="AN363" s="181"/>
      <c r="AO363" s="181"/>
      <c r="AP363" s="181"/>
      <c r="AQ363" s="181"/>
      <c r="AR363" s="181"/>
      <c r="AS363" s="181"/>
      <c r="AT363" s="181"/>
      <c r="AU363" s="181"/>
      <c r="AV363" s="181"/>
      <c r="AW363" s="181"/>
      <c r="AX363" s="181"/>
      <c r="AY363" s="181"/>
    </row>
    <row r="364" spans="1:54">
      <c r="A364" s="179" t="s">
        <v>49</v>
      </c>
      <c r="B364" s="180">
        <v>23</v>
      </c>
      <c r="C364" s="179" t="s">
        <v>74</v>
      </c>
      <c r="D364" s="179" t="s">
        <v>19</v>
      </c>
      <c r="E364" s="180" t="s">
        <v>306</v>
      </c>
      <c r="F364" s="179">
        <v>2020</v>
      </c>
      <c r="G364" s="181">
        <v>8623</v>
      </c>
      <c r="H364" s="181">
        <v>3575</v>
      </c>
      <c r="I364" s="181">
        <v>5048</v>
      </c>
      <c r="J364" s="181">
        <v>25317</v>
      </c>
      <c r="K364" s="181">
        <v>113</v>
      </c>
      <c r="L364" s="181">
        <v>14</v>
      </c>
      <c r="M364" s="181">
        <v>27</v>
      </c>
      <c r="N364" s="181">
        <v>7755</v>
      </c>
      <c r="O364" s="181">
        <v>88878</v>
      </c>
      <c r="P364" s="181">
        <v>3842</v>
      </c>
      <c r="Q364" s="181">
        <v>8115</v>
      </c>
      <c r="R364" s="181">
        <v>2421</v>
      </c>
      <c r="S364" s="181">
        <v>530</v>
      </c>
      <c r="T364" s="181">
        <v>7504</v>
      </c>
      <c r="U364" s="181">
        <v>3406</v>
      </c>
      <c r="V364" s="181">
        <v>2199</v>
      </c>
      <c r="W364" s="181">
        <v>2174</v>
      </c>
      <c r="X364" s="181">
        <v>1920</v>
      </c>
      <c r="Y364" s="181">
        <v>8623</v>
      </c>
      <c r="Z364" s="181">
        <v>108560603.91</v>
      </c>
      <c r="AA364" s="181">
        <v>391</v>
      </c>
      <c r="AB364" s="181">
        <v>771</v>
      </c>
      <c r="AC364" s="181">
        <v>6744</v>
      </c>
      <c r="AD364" s="181">
        <v>0</v>
      </c>
      <c r="AE364" s="181"/>
      <c r="AF364" s="181"/>
      <c r="AG364" s="181">
        <v>52</v>
      </c>
      <c r="AH364" s="181">
        <v>49</v>
      </c>
      <c r="AI364" s="181"/>
      <c r="AJ364" s="181"/>
      <c r="AK364" s="181"/>
      <c r="AL364" s="181"/>
      <c r="AM364" s="181"/>
      <c r="AN364" s="181"/>
      <c r="AO364" s="181"/>
      <c r="AP364" s="181"/>
      <c r="AQ364" s="181"/>
      <c r="AR364" s="181"/>
      <c r="AS364" s="181"/>
      <c r="AT364" s="181"/>
      <c r="AU364" s="181"/>
      <c r="AV364" s="181"/>
      <c r="AW364" s="181"/>
      <c r="AX364" s="181"/>
      <c r="AY364" s="181"/>
    </row>
    <row r="365" spans="1:54">
      <c r="A365" s="179" t="s">
        <v>49</v>
      </c>
      <c r="B365" s="180">
        <v>24</v>
      </c>
      <c r="C365" s="179" t="s">
        <v>75</v>
      </c>
      <c r="D365" s="179" t="s">
        <v>20</v>
      </c>
      <c r="E365" s="180" t="s">
        <v>306</v>
      </c>
      <c r="F365" s="179">
        <v>2020</v>
      </c>
      <c r="G365" s="181">
        <v>4774</v>
      </c>
      <c r="H365" s="181">
        <v>1833</v>
      </c>
      <c r="I365" s="181">
        <v>2941</v>
      </c>
      <c r="J365" s="181">
        <v>46698</v>
      </c>
      <c r="K365" s="181">
        <v>98</v>
      </c>
      <c r="L365" s="181">
        <v>26</v>
      </c>
      <c r="M365" s="181">
        <v>25</v>
      </c>
      <c r="N365" s="181">
        <v>4265</v>
      </c>
      <c r="O365" s="181">
        <v>156723</v>
      </c>
      <c r="P365" s="181">
        <v>2310</v>
      </c>
      <c r="Q365" s="181">
        <v>5119</v>
      </c>
      <c r="R365" s="181">
        <v>1606</v>
      </c>
      <c r="S365" s="181">
        <v>461</v>
      </c>
      <c r="T365" s="181">
        <v>4681</v>
      </c>
      <c r="U365" s="181">
        <v>2322</v>
      </c>
      <c r="V365" s="181">
        <v>1483</v>
      </c>
      <c r="W365" s="181">
        <v>1169</v>
      </c>
      <c r="X365" s="181">
        <v>1117</v>
      </c>
      <c r="Y365" s="181">
        <v>4774</v>
      </c>
      <c r="Z365" s="181">
        <v>95011144.870000005</v>
      </c>
      <c r="AA365" s="181">
        <v>241</v>
      </c>
      <c r="AB365" s="181">
        <v>427</v>
      </c>
      <c r="AC365" s="181">
        <v>899</v>
      </c>
      <c r="AD365" s="181">
        <v>165</v>
      </c>
      <c r="AE365" s="181"/>
      <c r="AF365" s="181"/>
      <c r="AG365" s="181">
        <v>182</v>
      </c>
      <c r="AH365" s="181">
        <v>159</v>
      </c>
      <c r="AI365" s="181"/>
      <c r="AJ365" s="181"/>
      <c r="AK365" s="181"/>
      <c r="AL365" s="181"/>
      <c r="AM365" s="181"/>
      <c r="AN365" s="181"/>
      <c r="AO365" s="181"/>
      <c r="AP365" s="181"/>
      <c r="AQ365" s="181"/>
      <c r="AR365" s="181"/>
      <c r="AS365" s="181"/>
      <c r="AT365" s="181"/>
      <c r="AU365" s="181"/>
      <c r="AV365" s="181"/>
      <c r="AW365" s="181"/>
      <c r="AX365" s="181"/>
      <c r="AY365" s="181"/>
    </row>
    <row r="366" spans="1:54">
      <c r="A366" s="179" t="s">
        <v>49</v>
      </c>
      <c r="B366" s="180">
        <v>25</v>
      </c>
      <c r="C366" s="179" t="s">
        <v>76</v>
      </c>
      <c r="D366" s="179" t="s">
        <v>21</v>
      </c>
      <c r="E366" s="180" t="s">
        <v>306</v>
      </c>
      <c r="F366" s="179">
        <v>2020</v>
      </c>
      <c r="G366" s="181">
        <v>8184</v>
      </c>
      <c r="H366" s="181">
        <v>2896</v>
      </c>
      <c r="I366" s="181">
        <v>5288</v>
      </c>
      <c r="J366" s="181">
        <v>46379</v>
      </c>
      <c r="K366" s="181">
        <v>235</v>
      </c>
      <c r="L366" s="181">
        <v>73</v>
      </c>
      <c r="M366" s="181">
        <v>40</v>
      </c>
      <c r="N366" s="181">
        <v>7363</v>
      </c>
      <c r="O366" s="181">
        <v>166153</v>
      </c>
      <c r="P366" s="181">
        <v>3197</v>
      </c>
      <c r="Q366" s="181">
        <v>8646</v>
      </c>
      <c r="R366" s="181">
        <v>2655</v>
      </c>
      <c r="S366" s="181">
        <v>403</v>
      </c>
      <c r="T366" s="181">
        <v>7950</v>
      </c>
      <c r="U366" s="181">
        <v>3909</v>
      </c>
      <c r="V366" s="181">
        <v>2478</v>
      </c>
      <c r="W366" s="181">
        <v>1672</v>
      </c>
      <c r="X366" s="181">
        <v>1611</v>
      </c>
      <c r="Y366" s="181">
        <v>8184</v>
      </c>
      <c r="Z366" s="181">
        <v>264967002.69</v>
      </c>
      <c r="AA366" s="181">
        <v>504</v>
      </c>
      <c r="AB366" s="181">
        <v>1117</v>
      </c>
      <c r="AC366" s="181">
        <v>0</v>
      </c>
      <c r="AD366" s="181">
        <v>160</v>
      </c>
      <c r="AE366" s="181"/>
      <c r="AF366" s="181"/>
      <c r="AG366" s="181">
        <v>2</v>
      </c>
      <c r="AH366" s="181">
        <v>0</v>
      </c>
      <c r="AI366" s="181"/>
      <c r="AJ366" s="181"/>
      <c r="AK366" s="181"/>
      <c r="AL366" s="181"/>
      <c r="AM366" s="181"/>
      <c r="AN366" s="181"/>
      <c r="AO366" s="181"/>
      <c r="AP366" s="181"/>
      <c r="AQ366" s="181"/>
      <c r="AR366" s="181"/>
      <c r="AS366" s="181"/>
      <c r="AT366" s="181"/>
      <c r="AU366" s="181"/>
      <c r="AV366" s="181"/>
      <c r="AW366" s="181"/>
      <c r="AX366" s="181"/>
      <c r="AY366" s="181"/>
    </row>
    <row r="367" spans="1:54">
      <c r="A367" s="179" t="s">
        <v>49</v>
      </c>
      <c r="B367" s="180">
        <v>26</v>
      </c>
      <c r="C367" s="179" t="s">
        <v>77</v>
      </c>
      <c r="D367" s="179" t="s">
        <v>22</v>
      </c>
      <c r="E367" s="180" t="s">
        <v>306</v>
      </c>
      <c r="F367" s="179">
        <v>2020</v>
      </c>
      <c r="G367" s="181">
        <v>15455</v>
      </c>
      <c r="H367" s="181">
        <v>5692</v>
      </c>
      <c r="I367" s="181">
        <v>9763</v>
      </c>
      <c r="J367" s="181">
        <v>45388</v>
      </c>
      <c r="K367" s="181">
        <v>265</v>
      </c>
      <c r="L367" s="181">
        <v>49</v>
      </c>
      <c r="M367" s="181">
        <v>44</v>
      </c>
      <c r="N367" s="181">
        <v>14103</v>
      </c>
      <c r="O367" s="181">
        <v>160495</v>
      </c>
      <c r="P367" s="181">
        <v>5735</v>
      </c>
      <c r="Q367" s="181">
        <v>14848</v>
      </c>
      <c r="R367" s="181">
        <v>3608</v>
      </c>
      <c r="S367" s="181">
        <v>1532</v>
      </c>
      <c r="T367" s="181">
        <v>13843</v>
      </c>
      <c r="U367" s="181">
        <v>6180</v>
      </c>
      <c r="V367" s="181">
        <v>3099</v>
      </c>
      <c r="W367" s="181">
        <v>3583</v>
      </c>
      <c r="X367" s="181">
        <v>1835</v>
      </c>
      <c r="Y367" s="181">
        <v>15455</v>
      </c>
      <c r="Z367" s="181">
        <v>245008136.47</v>
      </c>
      <c r="AA367" s="181">
        <v>551</v>
      </c>
      <c r="AB367" s="181">
        <v>857</v>
      </c>
      <c r="AC367" s="181">
        <v>821</v>
      </c>
      <c r="AD367" s="181">
        <v>81</v>
      </c>
      <c r="AE367" s="181"/>
      <c r="AF367" s="181"/>
      <c r="AG367" s="181">
        <v>106</v>
      </c>
      <c r="AH367" s="181">
        <v>96</v>
      </c>
      <c r="AI367" s="181"/>
      <c r="AJ367" s="181"/>
      <c r="AK367" s="181"/>
      <c r="AL367" s="181"/>
      <c r="AM367" s="181"/>
      <c r="AN367" s="181"/>
      <c r="AO367" s="181"/>
      <c r="AP367" s="181"/>
      <c r="AQ367" s="181"/>
      <c r="AR367" s="181"/>
      <c r="AS367" s="181"/>
      <c r="AT367" s="181"/>
      <c r="AU367" s="181"/>
      <c r="AV367" s="181"/>
      <c r="AW367" s="181"/>
      <c r="AX367" s="181"/>
      <c r="AY367" s="181"/>
    </row>
    <row r="368" spans="1:54">
      <c r="A368" s="179" t="s">
        <v>49</v>
      </c>
      <c r="B368" s="180">
        <v>27</v>
      </c>
      <c r="C368" s="179" t="s">
        <v>78</v>
      </c>
      <c r="D368" s="179" t="s">
        <v>23</v>
      </c>
      <c r="E368" s="180" t="s">
        <v>306</v>
      </c>
      <c r="F368" s="179">
        <v>2020</v>
      </c>
      <c r="G368" s="181">
        <v>5252</v>
      </c>
      <c r="H368" s="181">
        <v>1927</v>
      </c>
      <c r="I368" s="181">
        <v>3325</v>
      </c>
      <c r="J368" s="181">
        <v>42269</v>
      </c>
      <c r="K368" s="181">
        <v>89</v>
      </c>
      <c r="L368" s="181">
        <v>27</v>
      </c>
      <c r="M368" s="181">
        <v>24</v>
      </c>
      <c r="N368" s="181">
        <v>4834</v>
      </c>
      <c r="O368" s="181">
        <v>134346</v>
      </c>
      <c r="P368" s="181">
        <v>1948</v>
      </c>
      <c r="Q368" s="181">
        <v>5479</v>
      </c>
      <c r="R368" s="181">
        <v>1586</v>
      </c>
      <c r="S368" s="181">
        <v>236</v>
      </c>
      <c r="T368" s="181">
        <v>5018</v>
      </c>
      <c r="U368" s="181">
        <v>2206</v>
      </c>
      <c r="V368" s="181">
        <v>1487</v>
      </c>
      <c r="W368" s="181">
        <v>1416</v>
      </c>
      <c r="X368" s="181">
        <v>1407</v>
      </c>
      <c r="Y368" s="181">
        <v>5252</v>
      </c>
      <c r="Z368" s="181">
        <v>122044697.15000001</v>
      </c>
      <c r="AA368" s="181">
        <v>299</v>
      </c>
      <c r="AB368" s="181">
        <v>484</v>
      </c>
      <c r="AC368" s="181">
        <v>0</v>
      </c>
      <c r="AD368" s="181">
        <v>4</v>
      </c>
      <c r="AE368" s="181"/>
      <c r="AF368" s="181"/>
      <c r="AG368" s="181">
        <v>105</v>
      </c>
      <c r="AH368" s="181">
        <v>95</v>
      </c>
      <c r="AI368" s="181"/>
      <c r="AJ368" s="181"/>
      <c r="AK368" s="181"/>
      <c r="AL368" s="181"/>
      <c r="AM368" s="181"/>
      <c r="AN368" s="181"/>
      <c r="AO368" s="181"/>
      <c r="AP368" s="181"/>
      <c r="AQ368" s="181"/>
      <c r="AR368" s="181"/>
      <c r="AS368" s="181"/>
      <c r="AT368" s="181"/>
      <c r="AU368" s="181"/>
      <c r="AV368" s="181"/>
      <c r="AW368" s="181"/>
      <c r="AX368" s="181"/>
      <c r="AY368" s="181"/>
    </row>
    <row r="369" spans="1:51">
      <c r="A369" s="179" t="s">
        <v>49</v>
      </c>
      <c r="B369" s="180">
        <v>28</v>
      </c>
      <c r="C369" s="179" t="s">
        <v>79</v>
      </c>
      <c r="D369" s="179" t="s">
        <v>24</v>
      </c>
      <c r="E369" s="180" t="s">
        <v>306</v>
      </c>
      <c r="F369" s="179">
        <v>2020</v>
      </c>
      <c r="G369" s="181">
        <v>7597</v>
      </c>
      <c r="H369" s="181">
        <v>2799</v>
      </c>
      <c r="I369" s="181">
        <v>4798</v>
      </c>
      <c r="J369" s="181">
        <v>51260</v>
      </c>
      <c r="K369" s="181">
        <v>164</v>
      </c>
      <c r="L369" s="181">
        <v>29</v>
      </c>
      <c r="M369" s="181">
        <v>42</v>
      </c>
      <c r="N369" s="181">
        <v>7050</v>
      </c>
      <c r="O369" s="181">
        <v>188314</v>
      </c>
      <c r="P369" s="181">
        <v>3188</v>
      </c>
      <c r="Q369" s="181">
        <v>7871</v>
      </c>
      <c r="R369" s="181">
        <v>2123</v>
      </c>
      <c r="S369" s="181">
        <v>357</v>
      </c>
      <c r="T369" s="181">
        <v>7226</v>
      </c>
      <c r="U369" s="181">
        <v>3276</v>
      </c>
      <c r="V369" s="181">
        <v>1904</v>
      </c>
      <c r="W369" s="181">
        <v>2099</v>
      </c>
      <c r="X369" s="181">
        <v>1950</v>
      </c>
      <c r="Y369" s="181">
        <v>7597</v>
      </c>
      <c r="Z369" s="181">
        <v>188817486.56</v>
      </c>
      <c r="AA369" s="181">
        <v>387</v>
      </c>
      <c r="AB369" s="181">
        <v>1077</v>
      </c>
      <c r="AC369" s="181">
        <v>1987</v>
      </c>
      <c r="AD369" s="181">
        <v>0</v>
      </c>
      <c r="AE369" s="181"/>
      <c r="AF369" s="181"/>
      <c r="AG369" s="181">
        <v>63</v>
      </c>
      <c r="AH369" s="181">
        <v>61</v>
      </c>
      <c r="AI369" s="181">
        <v>23</v>
      </c>
      <c r="AJ369" s="181"/>
      <c r="AK369" s="181"/>
      <c r="AL369" s="181"/>
      <c r="AM369" s="181"/>
      <c r="AN369" s="181"/>
      <c r="AO369" s="181"/>
      <c r="AP369" s="181"/>
      <c r="AQ369" s="181"/>
      <c r="AR369" s="181"/>
      <c r="AS369" s="181"/>
      <c r="AT369" s="181"/>
      <c r="AU369" s="181"/>
      <c r="AV369" s="181"/>
      <c r="AW369" s="181"/>
      <c r="AX369" s="181"/>
      <c r="AY369" s="181"/>
    </row>
    <row r="370" spans="1:51">
      <c r="A370" s="179" t="s">
        <v>49</v>
      </c>
      <c r="B370" s="180">
        <v>29</v>
      </c>
      <c r="C370" s="179" t="s">
        <v>80</v>
      </c>
      <c r="D370" s="179" t="s">
        <v>25</v>
      </c>
      <c r="E370" s="180" t="s">
        <v>306</v>
      </c>
      <c r="F370" s="179">
        <v>2020</v>
      </c>
      <c r="G370" s="181">
        <v>3179</v>
      </c>
      <c r="H370" s="181">
        <v>1246</v>
      </c>
      <c r="I370" s="181">
        <v>1933</v>
      </c>
      <c r="J370" s="181">
        <v>22723</v>
      </c>
      <c r="K370" s="181">
        <v>49</v>
      </c>
      <c r="L370" s="181">
        <v>18</v>
      </c>
      <c r="M370" s="181">
        <v>15</v>
      </c>
      <c r="N370" s="181">
        <v>3012</v>
      </c>
      <c r="O370" s="181">
        <v>74898</v>
      </c>
      <c r="P370" s="181">
        <v>1386</v>
      </c>
      <c r="Q370" s="181">
        <v>3175</v>
      </c>
      <c r="R370" s="181">
        <v>972</v>
      </c>
      <c r="S370" s="181">
        <v>62</v>
      </c>
      <c r="T370" s="181">
        <v>2954</v>
      </c>
      <c r="U370" s="181">
        <v>1320</v>
      </c>
      <c r="V370" s="181">
        <v>855</v>
      </c>
      <c r="W370" s="181">
        <v>725</v>
      </c>
      <c r="X370" s="181">
        <v>710</v>
      </c>
      <c r="Y370" s="181">
        <v>3179</v>
      </c>
      <c r="Z370" s="181">
        <v>46228771.119999997</v>
      </c>
      <c r="AA370" s="181">
        <v>179</v>
      </c>
      <c r="AB370" s="181">
        <v>455</v>
      </c>
      <c r="AC370" s="181">
        <v>0</v>
      </c>
      <c r="AD370" s="181">
        <v>0</v>
      </c>
      <c r="AE370" s="181"/>
      <c r="AF370" s="181"/>
      <c r="AG370" s="181">
        <v>21</v>
      </c>
      <c r="AH370" s="181">
        <v>8</v>
      </c>
      <c r="AI370" s="181"/>
      <c r="AJ370" s="181"/>
      <c r="AK370" s="181"/>
      <c r="AL370" s="181"/>
      <c r="AM370" s="181"/>
      <c r="AN370" s="181"/>
      <c r="AO370" s="181"/>
      <c r="AP370" s="181"/>
      <c r="AQ370" s="181"/>
      <c r="AR370" s="181"/>
      <c r="AS370" s="181"/>
      <c r="AT370" s="181"/>
      <c r="AU370" s="181"/>
      <c r="AV370" s="181"/>
      <c r="AW370" s="181"/>
      <c r="AX370" s="181"/>
      <c r="AY370" s="181"/>
    </row>
    <row r="371" spans="1:51">
      <c r="A371" s="179" t="s">
        <v>49</v>
      </c>
      <c r="B371" s="180">
        <v>30</v>
      </c>
      <c r="C371" s="179" t="s">
        <v>81</v>
      </c>
      <c r="D371" s="179" t="s">
        <v>53</v>
      </c>
      <c r="E371" s="180" t="s">
        <v>306</v>
      </c>
      <c r="F371" s="179">
        <v>2020</v>
      </c>
      <c r="G371" s="181">
        <v>10340</v>
      </c>
      <c r="H371" s="181">
        <v>4253</v>
      </c>
      <c r="I371" s="181">
        <v>6087</v>
      </c>
      <c r="J371" s="181">
        <v>121060</v>
      </c>
      <c r="K371" s="181">
        <v>172</v>
      </c>
      <c r="L371" s="181">
        <v>44</v>
      </c>
      <c r="M371" s="181">
        <v>74</v>
      </c>
      <c r="N371" s="181">
        <v>9581</v>
      </c>
      <c r="O371" s="181">
        <v>434128</v>
      </c>
      <c r="P371" s="181">
        <v>5088</v>
      </c>
      <c r="Q371" s="181">
        <v>9166</v>
      </c>
      <c r="R371" s="181">
        <v>2494</v>
      </c>
      <c r="S371" s="181">
        <v>191</v>
      </c>
      <c r="T371" s="181">
        <v>8718</v>
      </c>
      <c r="U371" s="181">
        <v>3208</v>
      </c>
      <c r="V371" s="181">
        <v>2333</v>
      </c>
      <c r="W371" s="181">
        <v>2404</v>
      </c>
      <c r="X371" s="181">
        <v>2154</v>
      </c>
      <c r="Y371" s="181">
        <v>10340</v>
      </c>
      <c r="Z371" s="181">
        <v>252621869.19</v>
      </c>
      <c r="AA371" s="181">
        <v>549</v>
      </c>
      <c r="AB371" s="181">
        <v>1543</v>
      </c>
      <c r="AC371" s="181">
        <v>2283</v>
      </c>
      <c r="AD371" s="181">
        <v>0</v>
      </c>
      <c r="AE371" s="181"/>
      <c r="AF371" s="181"/>
      <c r="AG371" s="181">
        <v>1270</v>
      </c>
      <c r="AH371" s="181">
        <v>822</v>
      </c>
      <c r="AI371" s="181">
        <v>236</v>
      </c>
      <c r="AJ371" s="181"/>
      <c r="AK371" s="181"/>
      <c r="AL371" s="181"/>
      <c r="AM371" s="181"/>
      <c r="AN371" s="181"/>
      <c r="AO371" s="181"/>
      <c r="AP371" s="181"/>
      <c r="AQ371" s="181"/>
      <c r="AR371" s="181"/>
      <c r="AS371" s="181"/>
      <c r="AT371" s="181"/>
      <c r="AU371" s="181"/>
      <c r="AV371" s="181"/>
      <c r="AW371" s="181"/>
      <c r="AX371" s="181"/>
      <c r="AY371" s="181"/>
    </row>
    <row r="372" spans="1:51">
      <c r="A372" s="179" t="s">
        <v>49</v>
      </c>
      <c r="B372" s="180">
        <v>31</v>
      </c>
      <c r="C372" s="179" t="s">
        <v>82</v>
      </c>
      <c r="D372" s="179" t="s">
        <v>26</v>
      </c>
      <c r="E372" s="180" t="s">
        <v>306</v>
      </c>
      <c r="F372" s="179">
        <v>2020</v>
      </c>
      <c r="G372" s="181">
        <v>5397</v>
      </c>
      <c r="H372" s="181">
        <v>2130</v>
      </c>
      <c r="I372" s="181">
        <v>3267</v>
      </c>
      <c r="J372" s="181">
        <v>32246</v>
      </c>
      <c r="K372" s="181">
        <v>69</v>
      </c>
      <c r="L372" s="181">
        <v>14</v>
      </c>
      <c r="M372" s="181">
        <v>18</v>
      </c>
      <c r="N372" s="181">
        <v>4470</v>
      </c>
      <c r="O372" s="181">
        <v>114933</v>
      </c>
      <c r="P372" s="181">
        <v>2185</v>
      </c>
      <c r="Q372" s="181">
        <v>5231</v>
      </c>
      <c r="R372" s="181">
        <v>1360</v>
      </c>
      <c r="S372" s="181">
        <v>674</v>
      </c>
      <c r="T372" s="181">
        <v>4886</v>
      </c>
      <c r="U372" s="181">
        <v>2052</v>
      </c>
      <c r="V372" s="181">
        <v>1234</v>
      </c>
      <c r="W372" s="181">
        <v>1156</v>
      </c>
      <c r="X372" s="181">
        <v>926</v>
      </c>
      <c r="Y372" s="181">
        <v>5397</v>
      </c>
      <c r="Z372" s="181">
        <v>117391833.86</v>
      </c>
      <c r="AA372" s="181">
        <v>271</v>
      </c>
      <c r="AB372" s="181">
        <v>484</v>
      </c>
      <c r="AC372" s="181">
        <v>1610</v>
      </c>
      <c r="AD372" s="181">
        <v>0</v>
      </c>
      <c r="AE372" s="181"/>
      <c r="AF372" s="181"/>
      <c r="AG372" s="181">
        <v>848</v>
      </c>
      <c r="AH372" s="181">
        <v>842</v>
      </c>
      <c r="AI372" s="181"/>
      <c r="AJ372" s="181"/>
      <c r="AK372" s="181"/>
      <c r="AL372" s="181"/>
      <c r="AM372" s="181"/>
      <c r="AN372" s="181"/>
      <c r="AO372" s="181"/>
      <c r="AP372" s="181"/>
      <c r="AQ372" s="181"/>
      <c r="AR372" s="181"/>
      <c r="AS372" s="181"/>
      <c r="AT372" s="181"/>
      <c r="AU372" s="181"/>
      <c r="AV372" s="181"/>
      <c r="AW372" s="181"/>
      <c r="AX372" s="181"/>
      <c r="AY372" s="181"/>
    </row>
    <row r="373" spans="1:51">
      <c r="A373" s="179" t="s">
        <v>49</v>
      </c>
      <c r="B373" s="180">
        <v>32</v>
      </c>
      <c r="C373" s="179" t="s">
        <v>83</v>
      </c>
      <c r="D373" s="179" t="s">
        <v>27</v>
      </c>
      <c r="E373" s="180" t="s">
        <v>306</v>
      </c>
      <c r="F373" s="179">
        <v>2020</v>
      </c>
      <c r="G373" s="181">
        <v>1312</v>
      </c>
      <c r="H373" s="181">
        <v>596</v>
      </c>
      <c r="I373" s="181">
        <v>716</v>
      </c>
      <c r="J373" s="181">
        <v>25485</v>
      </c>
      <c r="K373" s="181">
        <v>60</v>
      </c>
      <c r="L373" s="181">
        <v>21</v>
      </c>
      <c r="M373" s="181">
        <v>7</v>
      </c>
      <c r="N373" s="181">
        <v>1059</v>
      </c>
      <c r="O373" s="181">
        <v>90644</v>
      </c>
      <c r="P373" s="181">
        <v>745</v>
      </c>
      <c r="Q373" s="181">
        <v>1468</v>
      </c>
      <c r="R373" s="181">
        <v>346</v>
      </c>
      <c r="S373" s="181">
        <v>510</v>
      </c>
      <c r="T373" s="181">
        <v>1228</v>
      </c>
      <c r="U373" s="181">
        <v>675</v>
      </c>
      <c r="V373" s="181">
        <v>290</v>
      </c>
      <c r="W373" s="181">
        <v>298</v>
      </c>
      <c r="X373" s="181">
        <v>291</v>
      </c>
      <c r="Y373" s="181">
        <v>1312</v>
      </c>
      <c r="Z373" s="181">
        <v>45053233.439999998</v>
      </c>
      <c r="AA373" s="181">
        <v>85</v>
      </c>
      <c r="AB373" s="181">
        <v>197</v>
      </c>
      <c r="AC373" s="181">
        <v>329</v>
      </c>
      <c r="AD373" s="181">
        <v>89</v>
      </c>
      <c r="AE373" s="181"/>
      <c r="AF373" s="181"/>
      <c r="AG373" s="181">
        <v>24</v>
      </c>
      <c r="AH373" s="181">
        <v>23</v>
      </c>
      <c r="AI373" s="181"/>
      <c r="AJ373" s="181"/>
      <c r="AK373" s="181"/>
      <c r="AL373" s="181"/>
      <c r="AM373" s="181"/>
      <c r="AN373" s="181"/>
      <c r="AO373" s="181"/>
      <c r="AP373" s="181"/>
      <c r="AQ373" s="181"/>
      <c r="AR373" s="181"/>
      <c r="AS373" s="181"/>
      <c r="AT373" s="181"/>
      <c r="AU373" s="181"/>
      <c r="AV373" s="181"/>
      <c r="AW373" s="181"/>
      <c r="AX373" s="181"/>
      <c r="AY373" s="181"/>
    </row>
    <row r="374" spans="1:51">
      <c r="A374" s="179" t="s">
        <v>124</v>
      </c>
      <c r="B374" s="180">
        <v>33</v>
      </c>
      <c r="C374" s="179" t="s">
        <v>125</v>
      </c>
      <c r="D374" s="179" t="s">
        <v>40</v>
      </c>
      <c r="E374" s="180" t="s">
        <v>306</v>
      </c>
      <c r="F374" s="179">
        <v>2020</v>
      </c>
      <c r="G374" s="181"/>
      <c r="H374" s="181"/>
      <c r="I374" s="181"/>
      <c r="J374" s="181"/>
      <c r="K374" s="181"/>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c r="AG374" s="181">
        <v>534</v>
      </c>
      <c r="AH374" s="181">
        <v>533</v>
      </c>
      <c r="AI374" s="181"/>
      <c r="AJ374" s="181"/>
      <c r="AK374" s="181"/>
      <c r="AL374" s="181"/>
      <c r="AM374" s="181"/>
      <c r="AN374" s="181"/>
      <c r="AO374" s="181"/>
      <c r="AP374" s="181"/>
      <c r="AQ374" s="181"/>
      <c r="AR374" s="181"/>
      <c r="AS374" s="181"/>
      <c r="AT374" s="181"/>
      <c r="AU374" s="181"/>
      <c r="AV374" s="181"/>
      <c r="AW374" s="181"/>
      <c r="AX374" s="181"/>
      <c r="AY374" s="181"/>
    </row>
    <row r="375" spans="1:51">
      <c r="A375" s="179" t="s">
        <v>50</v>
      </c>
      <c r="B375" s="180">
        <v>0</v>
      </c>
      <c r="C375" s="179" t="s">
        <v>123</v>
      </c>
      <c r="D375" s="179" t="s">
        <v>39</v>
      </c>
      <c r="E375" s="180" t="s">
        <v>306</v>
      </c>
      <c r="F375" s="179">
        <v>2020</v>
      </c>
      <c r="G375" s="181"/>
      <c r="H375" s="181"/>
      <c r="I375" s="181"/>
      <c r="J375" s="181"/>
      <c r="K375" s="181"/>
      <c r="L375" s="181"/>
      <c r="M375" s="181"/>
      <c r="N375" s="181"/>
      <c r="O375" s="181"/>
      <c r="P375" s="181"/>
      <c r="Q375" s="181"/>
      <c r="R375" s="181"/>
      <c r="S375" s="181"/>
      <c r="T375" s="181"/>
      <c r="U375" s="181"/>
      <c r="V375" s="181"/>
      <c r="W375" s="181"/>
      <c r="X375" s="181"/>
      <c r="Y375" s="181"/>
      <c r="Z375" s="181"/>
      <c r="AA375" s="181"/>
      <c r="AB375" s="181"/>
      <c r="AC375" s="181">
        <v>1136</v>
      </c>
      <c r="AD375" s="181"/>
      <c r="AE375" s="181"/>
      <c r="AF375" s="181"/>
      <c r="AG375" s="181">
        <v>2848</v>
      </c>
      <c r="AH375" s="181">
        <v>2845</v>
      </c>
      <c r="AI375" s="181"/>
      <c r="AJ375" s="181">
        <v>399892.79996442498</v>
      </c>
      <c r="AK375" s="181">
        <v>1422248.821</v>
      </c>
      <c r="AL375" s="181">
        <v>1422248.821</v>
      </c>
      <c r="AM375" s="181">
        <v>1457643.3670000001</v>
      </c>
      <c r="AN375" s="181">
        <v>1388683.6850000001</v>
      </c>
      <c r="AO375" s="181">
        <v>1388683.6850000001</v>
      </c>
      <c r="AP375" s="181">
        <v>1422248.821</v>
      </c>
      <c r="AQ375" s="181">
        <v>1457643.3670000001</v>
      </c>
      <c r="AR375" s="181">
        <v>0</v>
      </c>
      <c r="AS375" s="181">
        <v>0</v>
      </c>
      <c r="AT375" s="181">
        <v>33565.135999999999</v>
      </c>
      <c r="AU375" s="181">
        <v>1422248.821</v>
      </c>
      <c r="AV375" s="181">
        <v>33390.084999999999</v>
      </c>
      <c r="AW375" s="181">
        <v>40000</v>
      </c>
      <c r="AX375" s="181">
        <v>1422248.821</v>
      </c>
      <c r="AY375" s="181">
        <v>1457643.3670000001</v>
      </c>
    </row>
  </sheetData>
  <sortState ref="A36:BB67">
    <sortCondition ref="D36:D6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4"/>
  <sheetViews>
    <sheetView showGridLines="0" topLeftCell="F1" zoomScaleNormal="100" workbookViewId="0">
      <selection activeCell="T8" sqref="T4:T8"/>
    </sheetView>
  </sheetViews>
  <sheetFormatPr baseColWidth="10" defaultColWidth="11.42578125" defaultRowHeight="12.75"/>
  <cols>
    <col min="1" max="20" width="10" style="8" customWidth="1"/>
    <col min="21" max="16384" width="11.42578125" style="8"/>
  </cols>
  <sheetData>
    <row r="1" spans="1:23">
      <c r="A1" s="134" t="s">
        <v>94</v>
      </c>
      <c r="B1" s="357" t="s">
        <v>291</v>
      </c>
    </row>
    <row r="2" spans="1:23" s="144" customFormat="1" ht="18" customHeight="1">
      <c r="A2" s="144">
        <v>1</v>
      </c>
      <c r="B2" s="144">
        <v>2</v>
      </c>
      <c r="C2" s="144">
        <v>3</v>
      </c>
      <c r="D2" s="144">
        <v>4</v>
      </c>
      <c r="E2" s="144">
        <v>5</v>
      </c>
      <c r="F2" s="144">
        <v>6</v>
      </c>
      <c r="G2" s="144">
        <v>7</v>
      </c>
      <c r="H2" s="144">
        <v>8</v>
      </c>
      <c r="I2" s="144">
        <v>9</v>
      </c>
      <c r="J2" s="144">
        <v>10</v>
      </c>
      <c r="K2" s="144">
        <v>11</v>
      </c>
      <c r="L2" s="144">
        <v>12</v>
      </c>
      <c r="M2" s="144">
        <v>13</v>
      </c>
      <c r="N2" s="144">
        <v>14</v>
      </c>
      <c r="O2" s="144">
        <v>15</v>
      </c>
      <c r="P2" s="144">
        <v>16</v>
      </c>
      <c r="Q2" s="144">
        <v>17</v>
      </c>
      <c r="R2" s="144">
        <v>18</v>
      </c>
      <c r="S2" s="144">
        <v>19</v>
      </c>
      <c r="T2" s="144">
        <v>20</v>
      </c>
      <c r="U2" s="144">
        <v>21</v>
      </c>
    </row>
    <row r="3" spans="1:23" s="9" customFormat="1" ht="15">
      <c r="A3" s="136" t="s">
        <v>45</v>
      </c>
      <c r="B3" s="358" t="s">
        <v>232</v>
      </c>
      <c r="C3" s="358" t="s">
        <v>231</v>
      </c>
      <c r="D3" s="358" t="s">
        <v>237</v>
      </c>
      <c r="E3" s="358" t="s">
        <v>244</v>
      </c>
      <c r="F3" s="358" t="s">
        <v>238</v>
      </c>
      <c r="G3" s="358" t="s">
        <v>239</v>
      </c>
      <c r="H3" s="358" t="s">
        <v>240</v>
      </c>
      <c r="I3" s="358" t="s">
        <v>241</v>
      </c>
      <c r="J3" s="358" t="s">
        <v>242</v>
      </c>
      <c r="K3" s="358" t="s">
        <v>243</v>
      </c>
      <c r="L3" s="358" t="s">
        <v>245</v>
      </c>
      <c r="M3" s="357" t="s">
        <v>246</v>
      </c>
      <c r="N3" s="357" t="s">
        <v>248</v>
      </c>
      <c r="O3" s="357" t="s">
        <v>249</v>
      </c>
      <c r="P3" s="357" t="s">
        <v>250</v>
      </c>
      <c r="Q3" s="357" t="s">
        <v>330</v>
      </c>
      <c r="R3" s="357" t="s">
        <v>251</v>
      </c>
      <c r="S3" s="357" t="s">
        <v>247</v>
      </c>
      <c r="T3" s="357" t="s">
        <v>342</v>
      </c>
      <c r="U3"/>
      <c r="V3"/>
      <c r="W3"/>
    </row>
    <row r="4" spans="1:23" ht="15">
      <c r="A4" s="137">
        <v>2018</v>
      </c>
      <c r="B4" s="138">
        <v>3.8587193062876439</v>
      </c>
      <c r="C4" s="139">
        <v>81.04278601558201</v>
      </c>
      <c r="D4" s="138">
        <v>5.7563120080126753</v>
      </c>
      <c r="E4" s="359">
        <v>307859</v>
      </c>
      <c r="F4" s="138">
        <v>73.271848819497336</v>
      </c>
      <c r="G4" s="140">
        <v>16.319880955435263</v>
      </c>
      <c r="H4" s="140">
        <v>22.104985306280465</v>
      </c>
      <c r="I4" s="140">
        <v>50.182474621570293</v>
      </c>
      <c r="J4" s="140">
        <v>84.02268009922544</v>
      </c>
      <c r="K4" s="141">
        <v>17596.600771310896</v>
      </c>
      <c r="L4" s="359">
        <v>19.570211683936176</v>
      </c>
      <c r="M4" s="145">
        <v>0</v>
      </c>
      <c r="N4" s="359">
        <v>164018</v>
      </c>
      <c r="O4" s="359">
        <v>20186</v>
      </c>
      <c r="P4" s="359">
        <v>163434</v>
      </c>
      <c r="Q4" s="304">
        <v>217109</v>
      </c>
      <c r="R4" s="140">
        <v>3.9060089196677703</v>
      </c>
      <c r="S4" s="359">
        <v>9.6625655189730395</v>
      </c>
      <c r="T4" s="140">
        <v>0</v>
      </c>
      <c r="U4"/>
      <c r="V4"/>
      <c r="W4"/>
    </row>
    <row r="5" spans="1:23" ht="15">
      <c r="A5" s="137">
        <v>2019</v>
      </c>
      <c r="B5" s="138">
        <v>3.9511727674392016</v>
      </c>
      <c r="C5" s="139">
        <v>85.679834554313146</v>
      </c>
      <c r="D5" s="138">
        <v>6.2618384857804967</v>
      </c>
      <c r="E5" s="359">
        <v>306089</v>
      </c>
      <c r="F5" s="138">
        <v>72.136359351432873</v>
      </c>
      <c r="G5" s="140">
        <v>15.580184435082289</v>
      </c>
      <c r="H5" s="140">
        <v>19.023028965837586</v>
      </c>
      <c r="I5" s="140">
        <v>53.131455399061032</v>
      </c>
      <c r="J5" s="140">
        <v>84.709180098107922</v>
      </c>
      <c r="K5" s="141">
        <v>18155.932300017314</v>
      </c>
      <c r="L5" s="359">
        <v>19.695579435042792</v>
      </c>
      <c r="M5" s="145">
        <v>0</v>
      </c>
      <c r="N5" s="359">
        <v>149444</v>
      </c>
      <c r="O5" s="359">
        <v>17392</v>
      </c>
      <c r="P5" s="359">
        <v>174827</v>
      </c>
      <c r="Q5" s="304">
        <v>235963</v>
      </c>
      <c r="R5" s="140">
        <v>3.8387527810538766</v>
      </c>
      <c r="S5" s="359">
        <v>9.6070117071027283</v>
      </c>
      <c r="T5" s="140">
        <v>0</v>
      </c>
      <c r="U5"/>
      <c r="V5"/>
      <c r="W5"/>
    </row>
    <row r="6" spans="1:23" ht="15">
      <c r="A6" s="137">
        <v>2020</v>
      </c>
      <c r="B6" s="138">
        <v>4.0736959630258669</v>
      </c>
      <c r="C6" s="139">
        <v>86.388435835630673</v>
      </c>
      <c r="D6" s="138">
        <v>6.1427280475920947</v>
      </c>
      <c r="E6" s="359">
        <v>307031</v>
      </c>
      <c r="F6" s="138">
        <v>72.358361613876326</v>
      </c>
      <c r="G6" s="140">
        <v>12.691080045346293</v>
      </c>
      <c r="H6" s="140">
        <v>8.7322168197370793</v>
      </c>
      <c r="I6" s="140">
        <v>56.755098789037604</v>
      </c>
      <c r="J6" s="140">
        <v>83.143353656740587</v>
      </c>
      <c r="K6" s="141">
        <v>18764.385872281084</v>
      </c>
      <c r="L6" s="359">
        <v>19.987696113534277</v>
      </c>
      <c r="M6" s="145">
        <v>0</v>
      </c>
      <c r="N6" s="359">
        <v>84543</v>
      </c>
      <c r="O6" s="359">
        <v>6838</v>
      </c>
      <c r="P6" s="359">
        <v>88578</v>
      </c>
      <c r="Q6" s="304">
        <v>114862</v>
      </c>
      <c r="R6" s="140">
        <v>0.4162446137360723</v>
      </c>
      <c r="S6" s="359">
        <v>9.6365776340981135</v>
      </c>
      <c r="T6" s="140">
        <v>0</v>
      </c>
      <c r="U6"/>
      <c r="V6"/>
      <c r="W6"/>
    </row>
    <row r="7" spans="1:23" ht="15">
      <c r="A7" s="137">
        <v>2021</v>
      </c>
      <c r="B7" s="138">
        <v>4.0729883835106735</v>
      </c>
      <c r="C7" s="139">
        <v>88.471603313694416</v>
      </c>
      <c r="D7" s="138">
        <v>5.8313559384679063</v>
      </c>
      <c r="E7" s="359">
        <v>309717</v>
      </c>
      <c r="F7" s="138">
        <v>73.046462264150946</v>
      </c>
      <c r="G7" s="140">
        <v>14.848337789995147</v>
      </c>
      <c r="H7" s="140">
        <v>16.100551764714325</v>
      </c>
      <c r="I7" s="140">
        <v>55.71442939519914</v>
      </c>
      <c r="J7" s="140">
        <v>81.468016114768588</v>
      </c>
      <c r="K7" s="141">
        <v>19454.776944934762</v>
      </c>
      <c r="L7" s="359">
        <v>20.419106012658229</v>
      </c>
      <c r="M7" s="145">
        <v>0</v>
      </c>
      <c r="N7" s="359">
        <v>119725</v>
      </c>
      <c r="O7" s="359">
        <v>9685</v>
      </c>
      <c r="P7" s="359">
        <v>92502</v>
      </c>
      <c r="Q7" s="304">
        <v>117603</v>
      </c>
      <c r="R7" s="140">
        <v>1.9934327143811932</v>
      </c>
      <c r="S7" s="359">
        <v>9.7208813282696713</v>
      </c>
      <c r="T7" s="140">
        <v>85.70811744386873</v>
      </c>
      <c r="U7"/>
      <c r="V7"/>
      <c r="W7"/>
    </row>
    <row r="8" spans="1:23" ht="15">
      <c r="A8" s="137">
        <v>2022</v>
      </c>
      <c r="B8" s="138">
        <v>4.29170870344094</v>
      </c>
      <c r="C8" s="139">
        <v>86.481377068753943</v>
      </c>
      <c r="D8" s="138">
        <v>6.3773420070076163</v>
      </c>
      <c r="E8" s="359">
        <v>321053</v>
      </c>
      <c r="F8" s="138">
        <v>75.307984612497663</v>
      </c>
      <c r="G8" s="140">
        <v>13.953060374470883</v>
      </c>
      <c r="H8" s="140">
        <v>16.964893445326261</v>
      </c>
      <c r="I8" s="140">
        <v>56.537498568132349</v>
      </c>
      <c r="J8" s="140">
        <v>80.885759845954809</v>
      </c>
      <c r="K8" s="141">
        <v>19699.358796076998</v>
      </c>
      <c r="L8" s="359">
        <v>21.226644628099173</v>
      </c>
      <c r="M8" s="145">
        <v>0</v>
      </c>
      <c r="N8" s="359">
        <v>148628</v>
      </c>
      <c r="O8" s="359">
        <v>11282</v>
      </c>
      <c r="P8" s="359">
        <v>78858</v>
      </c>
      <c r="Q8" s="304">
        <v>100911</v>
      </c>
      <c r="R8" s="140">
        <v>3.0219309584398837</v>
      </c>
      <c r="S8" s="359">
        <v>10.076676814914785</v>
      </c>
      <c r="T8" s="140">
        <v>77.453546192096312</v>
      </c>
      <c r="U8"/>
      <c r="V8"/>
      <c r="W8"/>
    </row>
    <row r="9" spans="1:23" ht="15">
      <c r="A9"/>
      <c r="B9"/>
      <c r="C9"/>
      <c r="D9"/>
      <c r="E9"/>
      <c r="F9"/>
      <c r="G9"/>
      <c r="H9"/>
      <c r="I9"/>
      <c r="J9"/>
      <c r="K9"/>
      <c r="L9"/>
      <c r="M9"/>
      <c r="N9"/>
      <c r="O9"/>
      <c r="P9"/>
      <c r="Q9"/>
      <c r="R9"/>
      <c r="S9"/>
      <c r="T9"/>
      <c r="U9"/>
      <c r="V9"/>
      <c r="W9"/>
    </row>
    <row r="10" spans="1:23" ht="15">
      <c r="A10"/>
      <c r="B10"/>
      <c r="C10"/>
      <c r="D10"/>
      <c r="E10"/>
      <c r="F10"/>
      <c r="G10"/>
      <c r="H10"/>
      <c r="I10"/>
      <c r="J10"/>
      <c r="K10"/>
      <c r="L10"/>
      <c r="M10"/>
      <c r="N10"/>
      <c r="O10"/>
      <c r="P10"/>
      <c r="Q10"/>
      <c r="R10"/>
      <c r="S10"/>
      <c r="T10"/>
      <c r="U10"/>
      <c r="V10"/>
      <c r="W10"/>
    </row>
    <row r="11" spans="1:23" ht="15">
      <c r="A11"/>
      <c r="B11"/>
      <c r="C11"/>
      <c r="D11"/>
      <c r="E11"/>
      <c r="F11"/>
      <c r="G11"/>
      <c r="H11"/>
      <c r="I11"/>
      <c r="J11"/>
      <c r="K11"/>
      <c r="L11"/>
      <c r="M11"/>
      <c r="N11"/>
      <c r="O11"/>
      <c r="P11"/>
      <c r="Q11"/>
      <c r="R11"/>
      <c r="S11"/>
      <c r="T11"/>
      <c r="U11"/>
      <c r="V11"/>
      <c r="W11"/>
    </row>
    <row r="12" spans="1:23" ht="15">
      <c r="A12"/>
      <c r="B12"/>
      <c r="C12"/>
      <c r="D12"/>
      <c r="E12"/>
      <c r="F12"/>
      <c r="G12"/>
      <c r="H12"/>
      <c r="I12"/>
      <c r="J12"/>
      <c r="K12"/>
      <c r="L12"/>
      <c r="M12"/>
      <c r="N12"/>
      <c r="O12"/>
      <c r="P12"/>
      <c r="Q12"/>
      <c r="R12"/>
      <c r="S12"/>
      <c r="T12"/>
      <c r="U12"/>
      <c r="V12"/>
      <c r="W12"/>
    </row>
    <row r="13" spans="1:23" ht="15">
      <c r="A13"/>
      <c r="B13"/>
      <c r="C13"/>
      <c r="D13"/>
      <c r="E13"/>
      <c r="F13"/>
      <c r="G13"/>
      <c r="H13"/>
      <c r="I13"/>
      <c r="J13"/>
      <c r="K13"/>
      <c r="L13"/>
      <c r="M13"/>
      <c r="N13"/>
      <c r="O13"/>
      <c r="P13"/>
      <c r="Q13"/>
      <c r="R13"/>
      <c r="S13"/>
      <c r="T13"/>
      <c r="U13"/>
      <c r="V13"/>
      <c r="W13"/>
    </row>
    <row r="14" spans="1:23" ht="15">
      <c r="A14"/>
      <c r="B14"/>
      <c r="C14"/>
      <c r="D14"/>
      <c r="E14"/>
      <c r="F14"/>
      <c r="G14"/>
      <c r="H14"/>
      <c r="I14"/>
      <c r="J14"/>
      <c r="K14"/>
      <c r="L14"/>
      <c r="M14"/>
      <c r="N14"/>
      <c r="O14"/>
      <c r="P14"/>
      <c r="Q14"/>
      <c r="R14"/>
      <c r="S14"/>
      <c r="T14"/>
      <c r="U14"/>
      <c r="V14"/>
      <c r="W14"/>
    </row>
    <row r="15" spans="1:23">
      <c r="A15" s="135"/>
      <c r="B15" s="135"/>
      <c r="C15" s="135"/>
      <c r="D15" s="135"/>
      <c r="E15" s="135"/>
      <c r="F15" s="135"/>
      <c r="G15" s="135"/>
      <c r="H15" s="135"/>
      <c r="I15" s="135"/>
      <c r="J15" s="135"/>
      <c r="K15" s="135"/>
      <c r="L15" s="135"/>
      <c r="M15" s="135"/>
    </row>
    <row r="16" spans="1:23">
      <c r="A16" s="135"/>
      <c r="B16" s="135"/>
      <c r="C16" s="135"/>
      <c r="D16" s="135"/>
      <c r="E16" s="135"/>
      <c r="F16" s="135"/>
      <c r="G16" s="135"/>
      <c r="H16" s="135"/>
      <c r="I16" s="135"/>
      <c r="J16" s="135"/>
      <c r="K16" s="135"/>
      <c r="L16" s="135"/>
      <c r="M16" s="135"/>
    </row>
    <row r="17" spans="1:13">
      <c r="A17" s="135"/>
      <c r="B17" s="135"/>
      <c r="C17" s="135"/>
      <c r="D17" s="135"/>
      <c r="E17" s="135"/>
      <c r="F17" s="135"/>
      <c r="G17" s="135"/>
      <c r="H17" s="135"/>
      <c r="I17" s="135"/>
      <c r="J17" s="135"/>
      <c r="K17" s="135"/>
      <c r="L17" s="135"/>
      <c r="M17" s="135"/>
    </row>
    <row r="18" spans="1:13">
      <c r="A18" s="135"/>
      <c r="B18" s="135"/>
      <c r="C18" s="135"/>
      <c r="D18" s="135"/>
      <c r="E18" s="135"/>
      <c r="F18" s="135"/>
      <c r="G18" s="135"/>
      <c r="H18" s="135"/>
      <c r="I18" s="135"/>
      <c r="J18" s="135"/>
      <c r="K18" s="135"/>
      <c r="L18" s="135"/>
      <c r="M18" s="135"/>
    </row>
    <row r="19" spans="1:13">
      <c r="A19" s="135"/>
      <c r="B19" s="135"/>
      <c r="C19" s="135"/>
      <c r="D19" s="135"/>
      <c r="E19" s="135"/>
      <c r="F19" s="135"/>
      <c r="G19" s="135"/>
      <c r="H19" s="135"/>
      <c r="I19" s="135"/>
      <c r="J19" s="135"/>
      <c r="K19" s="135"/>
      <c r="L19" s="135"/>
      <c r="M19" s="135"/>
    </row>
    <row r="20" spans="1:13">
      <c r="A20" s="135"/>
      <c r="B20" s="135"/>
      <c r="C20" s="135"/>
      <c r="D20" s="135"/>
      <c r="E20" s="135"/>
      <c r="F20" s="135"/>
      <c r="G20" s="135"/>
      <c r="H20" s="135"/>
      <c r="I20" s="135"/>
      <c r="J20" s="135"/>
      <c r="K20" s="135"/>
      <c r="L20" s="135"/>
      <c r="M20" s="135"/>
    </row>
    <row r="21" spans="1:13">
      <c r="A21" s="135"/>
      <c r="B21" s="135"/>
      <c r="C21" s="135"/>
      <c r="D21" s="135"/>
      <c r="E21" s="135"/>
      <c r="F21" s="135"/>
      <c r="G21" s="135"/>
      <c r="H21" s="135"/>
      <c r="I21" s="135"/>
      <c r="J21" s="135"/>
      <c r="K21" s="135"/>
      <c r="L21" s="135"/>
      <c r="M21" s="135"/>
    </row>
    <row r="22" spans="1:13">
      <c r="A22" s="135"/>
      <c r="B22" s="135"/>
      <c r="C22" s="135"/>
      <c r="D22" s="135"/>
      <c r="E22" s="135"/>
      <c r="F22" s="135"/>
      <c r="G22" s="135"/>
      <c r="H22" s="135"/>
      <c r="I22" s="135"/>
      <c r="J22" s="135"/>
      <c r="K22" s="135"/>
      <c r="L22" s="135"/>
      <c r="M22" s="135"/>
    </row>
    <row r="23" spans="1:13">
      <c r="A23" s="135"/>
      <c r="B23" s="135"/>
      <c r="C23" s="135"/>
      <c r="D23" s="135"/>
      <c r="E23" s="135"/>
      <c r="F23" s="135"/>
      <c r="G23" s="135"/>
      <c r="H23" s="135"/>
      <c r="I23" s="135"/>
      <c r="J23" s="135"/>
      <c r="K23" s="135"/>
      <c r="L23" s="135"/>
      <c r="M23" s="135"/>
    </row>
    <row r="24" spans="1:13">
      <c r="A24" s="135"/>
      <c r="B24" s="135"/>
      <c r="C24" s="135"/>
      <c r="D24" s="135"/>
      <c r="E24" s="135"/>
      <c r="F24" s="135"/>
      <c r="G24" s="135"/>
      <c r="H24" s="135"/>
      <c r="I24" s="135"/>
      <c r="J24" s="135"/>
      <c r="K24" s="135"/>
      <c r="L24" s="135"/>
      <c r="M24" s="135"/>
    </row>
    <row r="25" spans="1:13">
      <c r="A25" s="135"/>
      <c r="B25" s="135"/>
      <c r="C25" s="135"/>
      <c r="D25" s="135"/>
      <c r="E25" s="135"/>
      <c r="F25" s="135"/>
      <c r="G25" s="135"/>
      <c r="H25" s="135"/>
      <c r="I25" s="135"/>
      <c r="J25" s="135"/>
      <c r="K25" s="135"/>
      <c r="L25" s="135"/>
      <c r="M25" s="135"/>
    </row>
    <row r="26" spans="1:13">
      <c r="A26" s="135"/>
      <c r="B26" s="135"/>
      <c r="C26" s="135"/>
      <c r="D26" s="135"/>
      <c r="E26" s="135"/>
      <c r="F26" s="135"/>
      <c r="G26" s="135"/>
      <c r="H26" s="135"/>
      <c r="I26" s="135"/>
      <c r="J26" s="135"/>
      <c r="K26" s="135"/>
      <c r="L26" s="135"/>
      <c r="M26" s="135"/>
    </row>
    <row r="27" spans="1:13">
      <c r="A27" s="135"/>
      <c r="B27" s="135"/>
      <c r="C27" s="135"/>
      <c r="D27" s="135"/>
      <c r="E27" s="135"/>
      <c r="F27" s="135"/>
      <c r="G27" s="135"/>
      <c r="H27" s="135"/>
      <c r="I27" s="135"/>
      <c r="J27" s="135"/>
      <c r="K27" s="135"/>
      <c r="L27" s="135"/>
      <c r="M27" s="135"/>
    </row>
    <row r="28" spans="1:13">
      <c r="A28" s="135"/>
      <c r="B28" s="135"/>
      <c r="C28" s="135"/>
      <c r="D28" s="135"/>
      <c r="E28" s="135"/>
      <c r="F28" s="135"/>
      <c r="G28" s="135"/>
      <c r="H28" s="135"/>
      <c r="I28" s="135"/>
      <c r="J28" s="135"/>
      <c r="K28" s="135"/>
      <c r="L28" s="135"/>
      <c r="M28" s="135"/>
    </row>
    <row r="29" spans="1:13">
      <c r="A29" s="135"/>
      <c r="B29" s="135"/>
      <c r="C29" s="135"/>
      <c r="D29" s="135"/>
      <c r="E29" s="135"/>
      <c r="F29" s="135"/>
      <c r="G29" s="135"/>
      <c r="H29" s="135"/>
      <c r="I29" s="135"/>
      <c r="J29" s="135"/>
      <c r="K29" s="135"/>
      <c r="L29" s="135"/>
      <c r="M29" s="135"/>
    </row>
    <row r="30" spans="1:13">
      <c r="A30" s="135"/>
      <c r="B30" s="135"/>
      <c r="C30" s="135"/>
      <c r="D30" s="135"/>
      <c r="E30" s="135"/>
      <c r="F30" s="135"/>
      <c r="G30" s="135"/>
      <c r="H30" s="135"/>
      <c r="I30" s="135"/>
      <c r="J30" s="135"/>
      <c r="K30" s="135"/>
      <c r="L30" s="135"/>
      <c r="M30" s="135"/>
    </row>
    <row r="31" spans="1:13">
      <c r="A31" s="135"/>
      <c r="B31" s="135"/>
      <c r="C31" s="135"/>
      <c r="D31" s="135"/>
      <c r="E31" s="135"/>
      <c r="F31" s="135"/>
      <c r="G31" s="135"/>
      <c r="H31" s="135"/>
      <c r="I31" s="135"/>
      <c r="J31" s="135"/>
      <c r="K31" s="135"/>
      <c r="L31" s="135"/>
      <c r="M31" s="135"/>
    </row>
    <row r="32" spans="1:13">
      <c r="A32" s="135"/>
      <c r="B32" s="135"/>
      <c r="C32" s="135"/>
      <c r="D32" s="135"/>
      <c r="E32" s="135"/>
      <c r="F32" s="135"/>
      <c r="G32" s="135"/>
      <c r="H32" s="135"/>
      <c r="I32" s="135"/>
      <c r="J32" s="135"/>
      <c r="K32" s="135"/>
      <c r="L32" s="135"/>
      <c r="M32" s="135"/>
    </row>
    <row r="33" spans="1:13">
      <c r="A33" s="135"/>
      <c r="B33" s="135"/>
      <c r="C33" s="135"/>
      <c r="D33" s="135"/>
      <c r="E33" s="135"/>
      <c r="F33" s="135"/>
      <c r="G33" s="135"/>
      <c r="H33" s="135"/>
      <c r="I33" s="135"/>
      <c r="J33" s="135"/>
      <c r="K33" s="135"/>
      <c r="L33" s="135"/>
      <c r="M33" s="135"/>
    </row>
    <row r="34" spans="1:13">
      <c r="A34" s="135"/>
      <c r="B34" s="135"/>
      <c r="C34" s="135"/>
      <c r="D34" s="135"/>
      <c r="E34" s="135"/>
      <c r="F34" s="135"/>
      <c r="G34" s="135"/>
      <c r="H34" s="135"/>
      <c r="I34" s="135"/>
      <c r="J34" s="135"/>
      <c r="K34" s="135"/>
      <c r="L34" s="135"/>
      <c r="M34" s="135"/>
    </row>
    <row r="35" spans="1:13">
      <c r="A35" s="135"/>
      <c r="B35" s="135"/>
      <c r="C35" s="135"/>
      <c r="D35" s="135"/>
      <c r="E35" s="135"/>
      <c r="F35" s="135"/>
      <c r="G35" s="135"/>
      <c r="H35" s="135"/>
      <c r="I35" s="135"/>
      <c r="J35" s="135"/>
      <c r="K35" s="135"/>
      <c r="L35" s="135"/>
      <c r="M35" s="135"/>
    </row>
    <row r="36" spans="1:13">
      <c r="A36" s="135"/>
      <c r="B36" s="135"/>
      <c r="C36" s="135"/>
      <c r="D36" s="135"/>
      <c r="E36" s="135"/>
      <c r="F36" s="135"/>
      <c r="G36" s="135"/>
      <c r="H36" s="135"/>
      <c r="I36" s="135"/>
      <c r="J36" s="135"/>
      <c r="K36" s="135"/>
      <c r="L36" s="135"/>
      <c r="M36" s="135"/>
    </row>
    <row r="37" spans="1:13">
      <c r="A37" s="135"/>
      <c r="B37" s="135"/>
      <c r="C37" s="135"/>
      <c r="D37" s="135"/>
      <c r="E37" s="135"/>
      <c r="F37" s="135"/>
      <c r="G37" s="135"/>
      <c r="H37" s="135"/>
      <c r="I37" s="135"/>
      <c r="J37" s="135"/>
      <c r="K37" s="135"/>
      <c r="L37" s="135"/>
      <c r="M37" s="135"/>
    </row>
    <row r="38" spans="1:13">
      <c r="A38" s="135"/>
      <c r="B38" s="135"/>
      <c r="C38" s="135"/>
      <c r="D38" s="135"/>
      <c r="E38" s="135"/>
      <c r="F38" s="135"/>
      <c r="G38" s="135"/>
      <c r="H38" s="135"/>
      <c r="I38" s="135"/>
      <c r="J38" s="135"/>
      <c r="K38" s="135"/>
      <c r="L38" s="135"/>
      <c r="M38" s="135"/>
    </row>
    <row r="39" spans="1:13" hidden="1">
      <c r="A39" s="135"/>
      <c r="B39" s="135"/>
      <c r="C39" s="135"/>
      <c r="D39" s="135"/>
      <c r="E39" s="135"/>
      <c r="F39" s="135"/>
      <c r="G39" s="135"/>
    </row>
    <row r="40" spans="1:13" hidden="1">
      <c r="A40" s="135"/>
      <c r="B40" s="135"/>
      <c r="C40" s="135"/>
      <c r="D40" s="135"/>
      <c r="E40" s="135"/>
      <c r="F40" s="135"/>
      <c r="G40" s="135"/>
    </row>
    <row r="41" spans="1:13" hidden="1">
      <c r="A41" s="135"/>
      <c r="B41" s="135"/>
      <c r="C41" s="135"/>
      <c r="D41" s="135"/>
      <c r="E41" s="135"/>
      <c r="F41" s="135"/>
      <c r="G41" s="135"/>
    </row>
    <row r="42" spans="1:13" hidden="1">
      <c r="A42" s="135"/>
      <c r="B42" s="135"/>
      <c r="C42" s="135"/>
      <c r="D42" s="135"/>
      <c r="E42" s="135"/>
      <c r="F42" s="135"/>
      <c r="G42" s="135"/>
    </row>
    <row r="43" spans="1:13" ht="6" customHeight="1"/>
    <row r="44" spans="1:13" ht="24" customHeight="1">
      <c r="A44" s="142" t="s">
        <v>155</v>
      </c>
      <c r="B44" s="143"/>
      <c r="C44" s="143"/>
      <c r="D44" s="143"/>
      <c r="E44" s="143"/>
      <c r="F44" s="143"/>
      <c r="G44" s="143"/>
    </row>
  </sheetData>
  <pageMargins left="0.51181102362204722" right="0.51181102362204722" top="0.55118110236220474" bottom="0.55118110236220474" header="0.31496062992125984" footer="0.31496062992125984"/>
  <pageSetup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showGridLines="0" showWhiteSpace="0" zoomScaleNormal="100" zoomScaleSheetLayoutView="100" zoomScalePageLayoutView="75" workbookViewId="0">
      <selection activeCell="A11" sqref="A11:XFD11"/>
    </sheetView>
  </sheetViews>
  <sheetFormatPr baseColWidth="10" defaultRowHeight="15"/>
  <cols>
    <col min="1" max="1" width="4.42578125" style="7" customWidth="1"/>
    <col min="2" max="2" width="22.7109375" style="7" customWidth="1"/>
    <col min="3" max="3" width="9.7109375" style="7" hidden="1" customWidth="1"/>
    <col min="4" max="10" width="9.7109375" style="7" customWidth="1"/>
    <col min="11" max="254" width="11.42578125" style="7"/>
    <col min="255" max="255" width="5.42578125" style="7" customWidth="1"/>
    <col min="256" max="256" width="25.42578125" style="7" customWidth="1"/>
    <col min="257" max="257" width="9.140625" style="7" customWidth="1"/>
    <col min="258" max="258" width="8.42578125" style="7" customWidth="1"/>
    <col min="259" max="259" width="33.5703125" style="7" customWidth="1"/>
    <col min="260" max="260" width="11.140625" style="7" customWidth="1"/>
    <col min="261" max="510" width="11.42578125" style="7"/>
    <col min="511" max="511" width="5.42578125" style="7" customWidth="1"/>
    <col min="512" max="512" width="25.42578125" style="7" customWidth="1"/>
    <col min="513" max="513" width="9.140625" style="7" customWidth="1"/>
    <col min="514" max="514" width="8.42578125" style="7" customWidth="1"/>
    <col min="515" max="515" width="33.5703125" style="7" customWidth="1"/>
    <col min="516" max="516" width="11.140625" style="7" customWidth="1"/>
    <col min="517" max="766" width="11.42578125" style="7"/>
    <col min="767" max="767" width="5.42578125" style="7" customWidth="1"/>
    <col min="768" max="768" width="25.42578125" style="7" customWidth="1"/>
    <col min="769" max="769" width="9.140625" style="7" customWidth="1"/>
    <col min="770" max="770" width="8.42578125" style="7" customWidth="1"/>
    <col min="771" max="771" width="33.5703125" style="7" customWidth="1"/>
    <col min="772" max="772" width="11.140625" style="7" customWidth="1"/>
    <col min="773" max="1022" width="11.42578125" style="7"/>
    <col min="1023" max="1023" width="5.42578125" style="7" customWidth="1"/>
    <col min="1024" max="1024" width="25.42578125" style="7" customWidth="1"/>
    <col min="1025" max="1025" width="9.140625" style="7" customWidth="1"/>
    <col min="1026" max="1026" width="8.42578125" style="7" customWidth="1"/>
    <col min="1027" max="1027" width="33.5703125" style="7" customWidth="1"/>
    <col min="1028" max="1028" width="11.140625" style="7" customWidth="1"/>
    <col min="1029" max="1278" width="11.42578125" style="7"/>
    <col min="1279" max="1279" width="5.42578125" style="7" customWidth="1"/>
    <col min="1280" max="1280" width="25.42578125" style="7" customWidth="1"/>
    <col min="1281" max="1281" width="9.140625" style="7" customWidth="1"/>
    <col min="1282" max="1282" width="8.42578125" style="7" customWidth="1"/>
    <col min="1283" max="1283" width="33.5703125" style="7" customWidth="1"/>
    <col min="1284" max="1284" width="11.140625" style="7" customWidth="1"/>
    <col min="1285" max="1534" width="11.42578125" style="7"/>
    <col min="1535" max="1535" width="5.42578125" style="7" customWidth="1"/>
    <col min="1536" max="1536" width="25.42578125" style="7" customWidth="1"/>
    <col min="1537" max="1537" width="9.140625" style="7" customWidth="1"/>
    <col min="1538" max="1538" width="8.42578125" style="7" customWidth="1"/>
    <col min="1539" max="1539" width="33.5703125" style="7" customWidth="1"/>
    <col min="1540" max="1540" width="11.140625" style="7" customWidth="1"/>
    <col min="1541" max="1790" width="11.42578125" style="7"/>
    <col min="1791" max="1791" width="5.42578125" style="7" customWidth="1"/>
    <col min="1792" max="1792" width="25.42578125" style="7" customWidth="1"/>
    <col min="1793" max="1793" width="9.140625" style="7" customWidth="1"/>
    <col min="1794" max="1794" width="8.42578125" style="7" customWidth="1"/>
    <col min="1795" max="1795" width="33.5703125" style="7" customWidth="1"/>
    <col min="1796" max="1796" width="11.140625" style="7" customWidth="1"/>
    <col min="1797" max="2046" width="11.42578125" style="7"/>
    <col min="2047" max="2047" width="5.42578125" style="7" customWidth="1"/>
    <col min="2048" max="2048" width="25.42578125" style="7" customWidth="1"/>
    <col min="2049" max="2049" width="9.140625" style="7" customWidth="1"/>
    <col min="2050" max="2050" width="8.42578125" style="7" customWidth="1"/>
    <col min="2051" max="2051" width="33.5703125" style="7" customWidth="1"/>
    <col min="2052" max="2052" width="11.140625" style="7" customWidth="1"/>
    <col min="2053" max="2302" width="11.42578125" style="7"/>
    <col min="2303" max="2303" width="5.42578125" style="7" customWidth="1"/>
    <col min="2304" max="2304" width="25.42578125" style="7" customWidth="1"/>
    <col min="2305" max="2305" width="9.140625" style="7" customWidth="1"/>
    <col min="2306" max="2306" width="8.42578125" style="7" customWidth="1"/>
    <col min="2307" max="2307" width="33.5703125" style="7" customWidth="1"/>
    <col min="2308" max="2308" width="11.140625" style="7" customWidth="1"/>
    <col min="2309" max="2558" width="11.42578125" style="7"/>
    <col min="2559" max="2559" width="5.42578125" style="7" customWidth="1"/>
    <col min="2560" max="2560" width="25.42578125" style="7" customWidth="1"/>
    <col min="2561" max="2561" width="9.140625" style="7" customWidth="1"/>
    <col min="2562" max="2562" width="8.42578125" style="7" customWidth="1"/>
    <col min="2563" max="2563" width="33.5703125" style="7" customWidth="1"/>
    <col min="2564" max="2564" width="11.140625" style="7" customWidth="1"/>
    <col min="2565" max="2814" width="11.42578125" style="7"/>
    <col min="2815" max="2815" width="5.42578125" style="7" customWidth="1"/>
    <col min="2816" max="2816" width="25.42578125" style="7" customWidth="1"/>
    <col min="2817" max="2817" width="9.140625" style="7" customWidth="1"/>
    <col min="2818" max="2818" width="8.42578125" style="7" customWidth="1"/>
    <col min="2819" max="2819" width="33.5703125" style="7" customWidth="1"/>
    <col min="2820" max="2820" width="11.140625" style="7" customWidth="1"/>
    <col min="2821" max="3070" width="11.42578125" style="7"/>
    <col min="3071" max="3071" width="5.42578125" style="7" customWidth="1"/>
    <col min="3072" max="3072" width="25.42578125" style="7" customWidth="1"/>
    <col min="3073" max="3073" width="9.140625" style="7" customWidth="1"/>
    <col min="3074" max="3074" width="8.42578125" style="7" customWidth="1"/>
    <col min="3075" max="3075" width="33.5703125" style="7" customWidth="1"/>
    <col min="3076" max="3076" width="11.140625" style="7" customWidth="1"/>
    <col min="3077" max="3326" width="11.42578125" style="7"/>
    <col min="3327" max="3327" width="5.42578125" style="7" customWidth="1"/>
    <col min="3328" max="3328" width="25.42578125" style="7" customWidth="1"/>
    <col min="3329" max="3329" width="9.140625" style="7" customWidth="1"/>
    <col min="3330" max="3330" width="8.42578125" style="7" customWidth="1"/>
    <col min="3331" max="3331" width="33.5703125" style="7" customWidth="1"/>
    <col min="3332" max="3332" width="11.140625" style="7" customWidth="1"/>
    <col min="3333" max="3582" width="11.42578125" style="7"/>
    <col min="3583" max="3583" width="5.42578125" style="7" customWidth="1"/>
    <col min="3584" max="3584" width="25.42578125" style="7" customWidth="1"/>
    <col min="3585" max="3585" width="9.140625" style="7" customWidth="1"/>
    <col min="3586" max="3586" width="8.42578125" style="7" customWidth="1"/>
    <col min="3587" max="3587" width="33.5703125" style="7" customWidth="1"/>
    <col min="3588" max="3588" width="11.140625" style="7" customWidth="1"/>
    <col min="3589" max="3838" width="11.42578125" style="7"/>
    <col min="3839" max="3839" width="5.42578125" style="7" customWidth="1"/>
    <col min="3840" max="3840" width="25.42578125" style="7" customWidth="1"/>
    <col min="3841" max="3841" width="9.140625" style="7" customWidth="1"/>
    <col min="3842" max="3842" width="8.42578125" style="7" customWidth="1"/>
    <col min="3843" max="3843" width="33.5703125" style="7" customWidth="1"/>
    <col min="3844" max="3844" width="11.140625" style="7" customWidth="1"/>
    <col min="3845" max="4094" width="11.42578125" style="7"/>
    <col min="4095" max="4095" width="5.42578125" style="7" customWidth="1"/>
    <col min="4096" max="4096" width="25.42578125" style="7" customWidth="1"/>
    <col min="4097" max="4097" width="9.140625" style="7" customWidth="1"/>
    <col min="4098" max="4098" width="8.42578125" style="7" customWidth="1"/>
    <col min="4099" max="4099" width="33.5703125" style="7" customWidth="1"/>
    <col min="4100" max="4100" width="11.140625" style="7" customWidth="1"/>
    <col min="4101" max="4350" width="11.42578125" style="7"/>
    <col min="4351" max="4351" width="5.42578125" style="7" customWidth="1"/>
    <col min="4352" max="4352" width="25.42578125" style="7" customWidth="1"/>
    <col min="4353" max="4353" width="9.140625" style="7" customWidth="1"/>
    <col min="4354" max="4354" width="8.42578125" style="7" customWidth="1"/>
    <col min="4355" max="4355" width="33.5703125" style="7" customWidth="1"/>
    <col min="4356" max="4356" width="11.140625" style="7" customWidth="1"/>
    <col min="4357" max="4606" width="11.42578125" style="7"/>
    <col min="4607" max="4607" width="5.42578125" style="7" customWidth="1"/>
    <col min="4608" max="4608" width="25.42578125" style="7" customWidth="1"/>
    <col min="4609" max="4609" width="9.140625" style="7" customWidth="1"/>
    <col min="4610" max="4610" width="8.42578125" style="7" customWidth="1"/>
    <col min="4611" max="4611" width="33.5703125" style="7" customWidth="1"/>
    <col min="4612" max="4612" width="11.140625" style="7" customWidth="1"/>
    <col min="4613" max="4862" width="11.42578125" style="7"/>
    <col min="4863" max="4863" width="5.42578125" style="7" customWidth="1"/>
    <col min="4864" max="4864" width="25.42578125" style="7" customWidth="1"/>
    <col min="4865" max="4865" width="9.140625" style="7" customWidth="1"/>
    <col min="4866" max="4866" width="8.42578125" style="7" customWidth="1"/>
    <col min="4867" max="4867" width="33.5703125" style="7" customWidth="1"/>
    <col min="4868" max="4868" width="11.140625" style="7" customWidth="1"/>
    <col min="4869" max="5118" width="11.42578125" style="7"/>
    <col min="5119" max="5119" width="5.42578125" style="7" customWidth="1"/>
    <col min="5120" max="5120" width="25.42578125" style="7" customWidth="1"/>
    <col min="5121" max="5121" width="9.140625" style="7" customWidth="1"/>
    <col min="5122" max="5122" width="8.42578125" style="7" customWidth="1"/>
    <col min="5123" max="5123" width="33.5703125" style="7" customWidth="1"/>
    <col min="5124" max="5124" width="11.140625" style="7" customWidth="1"/>
    <col min="5125" max="5374" width="11.42578125" style="7"/>
    <col min="5375" max="5375" width="5.42578125" style="7" customWidth="1"/>
    <col min="5376" max="5376" width="25.42578125" style="7" customWidth="1"/>
    <col min="5377" max="5377" width="9.140625" style="7" customWidth="1"/>
    <col min="5378" max="5378" width="8.42578125" style="7" customWidth="1"/>
    <col min="5379" max="5379" width="33.5703125" style="7" customWidth="1"/>
    <col min="5380" max="5380" width="11.140625" style="7" customWidth="1"/>
    <col min="5381" max="5630" width="11.42578125" style="7"/>
    <col min="5631" max="5631" width="5.42578125" style="7" customWidth="1"/>
    <col min="5632" max="5632" width="25.42578125" style="7" customWidth="1"/>
    <col min="5633" max="5633" width="9.140625" style="7" customWidth="1"/>
    <col min="5634" max="5634" width="8.42578125" style="7" customWidth="1"/>
    <col min="5635" max="5635" width="33.5703125" style="7" customWidth="1"/>
    <col min="5636" max="5636" width="11.140625" style="7" customWidth="1"/>
    <col min="5637" max="5886" width="11.42578125" style="7"/>
    <col min="5887" max="5887" width="5.42578125" style="7" customWidth="1"/>
    <col min="5888" max="5888" width="25.42578125" style="7" customWidth="1"/>
    <col min="5889" max="5889" width="9.140625" style="7" customWidth="1"/>
    <col min="5890" max="5890" width="8.42578125" style="7" customWidth="1"/>
    <col min="5891" max="5891" width="33.5703125" style="7" customWidth="1"/>
    <col min="5892" max="5892" width="11.140625" style="7" customWidth="1"/>
    <col min="5893" max="6142" width="11.42578125" style="7"/>
    <col min="6143" max="6143" width="5.42578125" style="7" customWidth="1"/>
    <col min="6144" max="6144" width="25.42578125" style="7" customWidth="1"/>
    <col min="6145" max="6145" width="9.140625" style="7" customWidth="1"/>
    <col min="6146" max="6146" width="8.42578125" style="7" customWidth="1"/>
    <col min="6147" max="6147" width="33.5703125" style="7" customWidth="1"/>
    <col min="6148" max="6148" width="11.140625" style="7" customWidth="1"/>
    <col min="6149" max="6398" width="11.42578125" style="7"/>
    <col min="6399" max="6399" width="5.42578125" style="7" customWidth="1"/>
    <col min="6400" max="6400" width="25.42578125" style="7" customWidth="1"/>
    <col min="6401" max="6401" width="9.140625" style="7" customWidth="1"/>
    <col min="6402" max="6402" width="8.42578125" style="7" customWidth="1"/>
    <col min="6403" max="6403" width="33.5703125" style="7" customWidth="1"/>
    <col min="6404" max="6404" width="11.140625" style="7" customWidth="1"/>
    <col min="6405" max="6654" width="11.42578125" style="7"/>
    <col min="6655" max="6655" width="5.42578125" style="7" customWidth="1"/>
    <col min="6656" max="6656" width="25.42578125" style="7" customWidth="1"/>
    <col min="6657" max="6657" width="9.140625" style="7" customWidth="1"/>
    <col min="6658" max="6658" width="8.42578125" style="7" customWidth="1"/>
    <col min="6659" max="6659" width="33.5703125" style="7" customWidth="1"/>
    <col min="6660" max="6660" width="11.140625" style="7" customWidth="1"/>
    <col min="6661" max="6910" width="11.42578125" style="7"/>
    <col min="6911" max="6911" width="5.42578125" style="7" customWidth="1"/>
    <col min="6912" max="6912" width="25.42578125" style="7" customWidth="1"/>
    <col min="6913" max="6913" width="9.140625" style="7" customWidth="1"/>
    <col min="6914" max="6914" width="8.42578125" style="7" customWidth="1"/>
    <col min="6915" max="6915" width="33.5703125" style="7" customWidth="1"/>
    <col min="6916" max="6916" width="11.140625" style="7" customWidth="1"/>
    <col min="6917" max="7166" width="11.42578125" style="7"/>
    <col min="7167" max="7167" width="5.42578125" style="7" customWidth="1"/>
    <col min="7168" max="7168" width="25.42578125" style="7" customWidth="1"/>
    <col min="7169" max="7169" width="9.140625" style="7" customWidth="1"/>
    <col min="7170" max="7170" width="8.42578125" style="7" customWidth="1"/>
    <col min="7171" max="7171" width="33.5703125" style="7" customWidth="1"/>
    <col min="7172" max="7172" width="11.140625" style="7" customWidth="1"/>
    <col min="7173" max="7422" width="11.42578125" style="7"/>
    <col min="7423" max="7423" width="5.42578125" style="7" customWidth="1"/>
    <col min="7424" max="7424" width="25.42578125" style="7" customWidth="1"/>
    <col min="7425" max="7425" width="9.140625" style="7" customWidth="1"/>
    <col min="7426" max="7426" width="8.42578125" style="7" customWidth="1"/>
    <col min="7427" max="7427" width="33.5703125" style="7" customWidth="1"/>
    <col min="7428" max="7428" width="11.140625" style="7" customWidth="1"/>
    <col min="7429" max="7678" width="11.42578125" style="7"/>
    <col min="7679" max="7679" width="5.42578125" style="7" customWidth="1"/>
    <col min="7680" max="7680" width="25.42578125" style="7" customWidth="1"/>
    <col min="7681" max="7681" width="9.140625" style="7" customWidth="1"/>
    <col min="7682" max="7682" width="8.42578125" style="7" customWidth="1"/>
    <col min="7683" max="7683" width="33.5703125" style="7" customWidth="1"/>
    <col min="7684" max="7684" width="11.140625" style="7" customWidth="1"/>
    <col min="7685" max="7934" width="11.42578125" style="7"/>
    <col min="7935" max="7935" width="5.42578125" style="7" customWidth="1"/>
    <col min="7936" max="7936" width="25.42578125" style="7" customWidth="1"/>
    <col min="7937" max="7937" width="9.140625" style="7" customWidth="1"/>
    <col min="7938" max="7938" width="8.42578125" style="7" customWidth="1"/>
    <col min="7939" max="7939" width="33.5703125" style="7" customWidth="1"/>
    <col min="7940" max="7940" width="11.140625" style="7" customWidth="1"/>
    <col min="7941" max="8190" width="11.42578125" style="7"/>
    <col min="8191" max="8191" width="5.42578125" style="7" customWidth="1"/>
    <col min="8192" max="8192" width="25.42578125" style="7" customWidth="1"/>
    <col min="8193" max="8193" width="9.140625" style="7" customWidth="1"/>
    <col min="8194" max="8194" width="8.42578125" style="7" customWidth="1"/>
    <col min="8195" max="8195" width="33.5703125" style="7" customWidth="1"/>
    <col min="8196" max="8196" width="11.140625" style="7" customWidth="1"/>
    <col min="8197" max="8446" width="11.42578125" style="7"/>
    <col min="8447" max="8447" width="5.42578125" style="7" customWidth="1"/>
    <col min="8448" max="8448" width="25.42578125" style="7" customWidth="1"/>
    <col min="8449" max="8449" width="9.140625" style="7" customWidth="1"/>
    <col min="8450" max="8450" width="8.42578125" style="7" customWidth="1"/>
    <col min="8451" max="8451" width="33.5703125" style="7" customWidth="1"/>
    <col min="8452" max="8452" width="11.140625" style="7" customWidth="1"/>
    <col min="8453" max="8702" width="11.42578125" style="7"/>
    <col min="8703" max="8703" width="5.42578125" style="7" customWidth="1"/>
    <col min="8704" max="8704" width="25.42578125" style="7" customWidth="1"/>
    <col min="8705" max="8705" width="9.140625" style="7" customWidth="1"/>
    <col min="8706" max="8706" width="8.42578125" style="7" customWidth="1"/>
    <col min="8707" max="8707" width="33.5703125" style="7" customWidth="1"/>
    <col min="8708" max="8708" width="11.140625" style="7" customWidth="1"/>
    <col min="8709" max="8958" width="11.42578125" style="7"/>
    <col min="8959" max="8959" width="5.42578125" style="7" customWidth="1"/>
    <col min="8960" max="8960" width="25.42578125" style="7" customWidth="1"/>
    <col min="8961" max="8961" width="9.140625" style="7" customWidth="1"/>
    <col min="8962" max="8962" width="8.42578125" style="7" customWidth="1"/>
    <col min="8963" max="8963" width="33.5703125" style="7" customWidth="1"/>
    <col min="8964" max="8964" width="11.140625" style="7" customWidth="1"/>
    <col min="8965" max="9214" width="11.42578125" style="7"/>
    <col min="9215" max="9215" width="5.42578125" style="7" customWidth="1"/>
    <col min="9216" max="9216" width="25.42578125" style="7" customWidth="1"/>
    <col min="9217" max="9217" width="9.140625" style="7" customWidth="1"/>
    <col min="9218" max="9218" width="8.42578125" style="7" customWidth="1"/>
    <col min="9219" max="9219" width="33.5703125" style="7" customWidth="1"/>
    <col min="9220" max="9220" width="11.140625" style="7" customWidth="1"/>
    <col min="9221" max="9470" width="11.42578125" style="7"/>
    <col min="9471" max="9471" width="5.42578125" style="7" customWidth="1"/>
    <col min="9472" max="9472" width="25.42578125" style="7" customWidth="1"/>
    <col min="9473" max="9473" width="9.140625" style="7" customWidth="1"/>
    <col min="9474" max="9474" width="8.42578125" style="7" customWidth="1"/>
    <col min="9475" max="9475" width="33.5703125" style="7" customWidth="1"/>
    <col min="9476" max="9476" width="11.140625" style="7" customWidth="1"/>
    <col min="9477" max="9726" width="11.42578125" style="7"/>
    <col min="9727" max="9727" width="5.42578125" style="7" customWidth="1"/>
    <col min="9728" max="9728" width="25.42578125" style="7" customWidth="1"/>
    <col min="9729" max="9729" width="9.140625" style="7" customWidth="1"/>
    <col min="9730" max="9730" width="8.42578125" style="7" customWidth="1"/>
    <col min="9731" max="9731" width="33.5703125" style="7" customWidth="1"/>
    <col min="9732" max="9732" width="11.140625" style="7" customWidth="1"/>
    <col min="9733" max="9982" width="11.42578125" style="7"/>
    <col min="9983" max="9983" width="5.42578125" style="7" customWidth="1"/>
    <col min="9984" max="9984" width="25.42578125" style="7" customWidth="1"/>
    <col min="9985" max="9985" width="9.140625" style="7" customWidth="1"/>
    <col min="9986" max="9986" width="8.42578125" style="7" customWidth="1"/>
    <col min="9987" max="9987" width="33.5703125" style="7" customWidth="1"/>
    <col min="9988" max="9988" width="11.140625" style="7" customWidth="1"/>
    <col min="9989" max="10238" width="11.42578125" style="7"/>
    <col min="10239" max="10239" width="5.42578125" style="7" customWidth="1"/>
    <col min="10240" max="10240" width="25.42578125" style="7" customWidth="1"/>
    <col min="10241" max="10241" width="9.140625" style="7" customWidth="1"/>
    <col min="10242" max="10242" width="8.42578125" style="7" customWidth="1"/>
    <col min="10243" max="10243" width="33.5703125" style="7" customWidth="1"/>
    <col min="10244" max="10244" width="11.140625" style="7" customWidth="1"/>
    <col min="10245" max="10494" width="11.42578125" style="7"/>
    <col min="10495" max="10495" width="5.42578125" style="7" customWidth="1"/>
    <col min="10496" max="10496" width="25.42578125" style="7" customWidth="1"/>
    <col min="10497" max="10497" width="9.140625" style="7" customWidth="1"/>
    <col min="10498" max="10498" width="8.42578125" style="7" customWidth="1"/>
    <col min="10499" max="10499" width="33.5703125" style="7" customWidth="1"/>
    <col min="10500" max="10500" width="11.140625" style="7" customWidth="1"/>
    <col min="10501" max="10750" width="11.42578125" style="7"/>
    <col min="10751" max="10751" width="5.42578125" style="7" customWidth="1"/>
    <col min="10752" max="10752" width="25.42578125" style="7" customWidth="1"/>
    <col min="10753" max="10753" width="9.140625" style="7" customWidth="1"/>
    <col min="10754" max="10754" width="8.42578125" style="7" customWidth="1"/>
    <col min="10755" max="10755" width="33.5703125" style="7" customWidth="1"/>
    <col min="10756" max="10756" width="11.140625" style="7" customWidth="1"/>
    <col min="10757" max="11006" width="11.42578125" style="7"/>
    <col min="11007" max="11007" width="5.42578125" style="7" customWidth="1"/>
    <col min="11008" max="11008" width="25.42578125" style="7" customWidth="1"/>
    <col min="11009" max="11009" width="9.140625" style="7" customWidth="1"/>
    <col min="11010" max="11010" width="8.42578125" style="7" customWidth="1"/>
    <col min="11011" max="11011" width="33.5703125" style="7" customWidth="1"/>
    <col min="11012" max="11012" width="11.140625" style="7" customWidth="1"/>
    <col min="11013" max="11262" width="11.42578125" style="7"/>
    <col min="11263" max="11263" width="5.42578125" style="7" customWidth="1"/>
    <col min="11264" max="11264" width="25.42578125" style="7" customWidth="1"/>
    <col min="11265" max="11265" width="9.140625" style="7" customWidth="1"/>
    <col min="11266" max="11266" width="8.42578125" style="7" customWidth="1"/>
    <col min="11267" max="11267" width="33.5703125" style="7" customWidth="1"/>
    <col min="11268" max="11268" width="11.140625" style="7" customWidth="1"/>
    <col min="11269" max="11518" width="11.42578125" style="7"/>
    <col min="11519" max="11519" width="5.42578125" style="7" customWidth="1"/>
    <col min="11520" max="11520" width="25.42578125" style="7" customWidth="1"/>
    <col min="11521" max="11521" width="9.140625" style="7" customWidth="1"/>
    <col min="11522" max="11522" width="8.42578125" style="7" customWidth="1"/>
    <col min="11523" max="11523" width="33.5703125" style="7" customWidth="1"/>
    <col min="11524" max="11524" width="11.140625" style="7" customWidth="1"/>
    <col min="11525" max="11774" width="11.42578125" style="7"/>
    <col min="11775" max="11775" width="5.42578125" style="7" customWidth="1"/>
    <col min="11776" max="11776" width="25.42578125" style="7" customWidth="1"/>
    <col min="11777" max="11777" width="9.140625" style="7" customWidth="1"/>
    <col min="11778" max="11778" width="8.42578125" style="7" customWidth="1"/>
    <col min="11779" max="11779" width="33.5703125" style="7" customWidth="1"/>
    <col min="11780" max="11780" width="11.140625" style="7" customWidth="1"/>
    <col min="11781" max="12030" width="11.42578125" style="7"/>
    <col min="12031" max="12031" width="5.42578125" style="7" customWidth="1"/>
    <col min="12032" max="12032" width="25.42578125" style="7" customWidth="1"/>
    <col min="12033" max="12033" width="9.140625" style="7" customWidth="1"/>
    <col min="12034" max="12034" width="8.42578125" style="7" customWidth="1"/>
    <col min="12035" max="12035" width="33.5703125" style="7" customWidth="1"/>
    <col min="12036" max="12036" width="11.140625" style="7" customWidth="1"/>
    <col min="12037" max="12286" width="11.42578125" style="7"/>
    <col min="12287" max="12287" width="5.42578125" style="7" customWidth="1"/>
    <col min="12288" max="12288" width="25.42578125" style="7" customWidth="1"/>
    <col min="12289" max="12289" width="9.140625" style="7" customWidth="1"/>
    <col min="12290" max="12290" width="8.42578125" style="7" customWidth="1"/>
    <col min="12291" max="12291" width="33.5703125" style="7" customWidth="1"/>
    <col min="12292" max="12292" width="11.140625" style="7" customWidth="1"/>
    <col min="12293" max="12542" width="11.42578125" style="7"/>
    <col min="12543" max="12543" width="5.42578125" style="7" customWidth="1"/>
    <col min="12544" max="12544" width="25.42578125" style="7" customWidth="1"/>
    <col min="12545" max="12545" width="9.140625" style="7" customWidth="1"/>
    <col min="12546" max="12546" width="8.42578125" style="7" customWidth="1"/>
    <col min="12547" max="12547" width="33.5703125" style="7" customWidth="1"/>
    <col min="12548" max="12548" width="11.140625" style="7" customWidth="1"/>
    <col min="12549" max="12798" width="11.42578125" style="7"/>
    <col min="12799" max="12799" width="5.42578125" style="7" customWidth="1"/>
    <col min="12800" max="12800" width="25.42578125" style="7" customWidth="1"/>
    <col min="12801" max="12801" width="9.140625" style="7" customWidth="1"/>
    <col min="12802" max="12802" width="8.42578125" style="7" customWidth="1"/>
    <col min="12803" max="12803" width="33.5703125" style="7" customWidth="1"/>
    <col min="12804" max="12804" width="11.140625" style="7" customWidth="1"/>
    <col min="12805" max="13054" width="11.42578125" style="7"/>
    <col min="13055" max="13055" width="5.42578125" style="7" customWidth="1"/>
    <col min="13056" max="13056" width="25.42578125" style="7" customWidth="1"/>
    <col min="13057" max="13057" width="9.140625" style="7" customWidth="1"/>
    <col min="13058" max="13058" width="8.42578125" style="7" customWidth="1"/>
    <col min="13059" max="13059" width="33.5703125" style="7" customWidth="1"/>
    <col min="13060" max="13060" width="11.140625" style="7" customWidth="1"/>
    <col min="13061" max="13310" width="11.42578125" style="7"/>
    <col min="13311" max="13311" width="5.42578125" style="7" customWidth="1"/>
    <col min="13312" max="13312" width="25.42578125" style="7" customWidth="1"/>
    <col min="13313" max="13313" width="9.140625" style="7" customWidth="1"/>
    <col min="13314" max="13314" width="8.42578125" style="7" customWidth="1"/>
    <col min="13315" max="13315" width="33.5703125" style="7" customWidth="1"/>
    <col min="13316" max="13316" width="11.140625" style="7" customWidth="1"/>
    <col min="13317" max="13566" width="11.42578125" style="7"/>
    <col min="13567" max="13567" width="5.42578125" style="7" customWidth="1"/>
    <col min="13568" max="13568" width="25.42578125" style="7" customWidth="1"/>
    <col min="13569" max="13569" width="9.140625" style="7" customWidth="1"/>
    <col min="13570" max="13570" width="8.42578125" style="7" customWidth="1"/>
    <col min="13571" max="13571" width="33.5703125" style="7" customWidth="1"/>
    <col min="13572" max="13572" width="11.140625" style="7" customWidth="1"/>
    <col min="13573" max="13822" width="11.42578125" style="7"/>
    <col min="13823" max="13823" width="5.42578125" style="7" customWidth="1"/>
    <col min="13824" max="13824" width="25.42578125" style="7" customWidth="1"/>
    <col min="13825" max="13825" width="9.140625" style="7" customWidth="1"/>
    <col min="13826" max="13826" width="8.42578125" style="7" customWidth="1"/>
    <col min="13827" max="13827" width="33.5703125" style="7" customWidth="1"/>
    <col min="13828" max="13828" width="11.140625" style="7" customWidth="1"/>
    <col min="13829" max="14078" width="11.42578125" style="7"/>
    <col min="14079" max="14079" width="5.42578125" style="7" customWidth="1"/>
    <col min="14080" max="14080" width="25.42578125" style="7" customWidth="1"/>
    <col min="14081" max="14081" width="9.140625" style="7" customWidth="1"/>
    <col min="14082" max="14082" width="8.42578125" style="7" customWidth="1"/>
    <col min="14083" max="14083" width="33.5703125" style="7" customWidth="1"/>
    <col min="14084" max="14084" width="11.140625" style="7" customWidth="1"/>
    <col min="14085" max="14334" width="11.42578125" style="7"/>
    <col min="14335" max="14335" width="5.42578125" style="7" customWidth="1"/>
    <col min="14336" max="14336" width="25.42578125" style="7" customWidth="1"/>
    <col min="14337" max="14337" width="9.140625" style="7" customWidth="1"/>
    <col min="14338" max="14338" width="8.42578125" style="7" customWidth="1"/>
    <col min="14339" max="14339" width="33.5703125" style="7" customWidth="1"/>
    <col min="14340" max="14340" width="11.140625" style="7" customWidth="1"/>
    <col min="14341" max="14590" width="11.42578125" style="7"/>
    <col min="14591" max="14591" width="5.42578125" style="7" customWidth="1"/>
    <col min="14592" max="14592" width="25.42578125" style="7" customWidth="1"/>
    <col min="14593" max="14593" width="9.140625" style="7" customWidth="1"/>
    <col min="14594" max="14594" width="8.42578125" style="7" customWidth="1"/>
    <col min="14595" max="14595" width="33.5703125" style="7" customWidth="1"/>
    <col min="14596" max="14596" width="11.140625" style="7" customWidth="1"/>
    <col min="14597" max="14846" width="11.42578125" style="7"/>
    <col min="14847" max="14847" width="5.42578125" style="7" customWidth="1"/>
    <col min="14848" max="14848" width="25.42578125" style="7" customWidth="1"/>
    <col min="14849" max="14849" width="9.140625" style="7" customWidth="1"/>
    <col min="14850" max="14850" width="8.42578125" style="7" customWidth="1"/>
    <col min="14851" max="14851" width="33.5703125" style="7" customWidth="1"/>
    <col min="14852" max="14852" width="11.140625" style="7" customWidth="1"/>
    <col min="14853" max="15102" width="11.42578125" style="7"/>
    <col min="15103" max="15103" width="5.42578125" style="7" customWidth="1"/>
    <col min="15104" max="15104" width="25.42578125" style="7" customWidth="1"/>
    <col min="15105" max="15105" width="9.140625" style="7" customWidth="1"/>
    <col min="15106" max="15106" width="8.42578125" style="7" customWidth="1"/>
    <col min="15107" max="15107" width="33.5703125" style="7" customWidth="1"/>
    <col min="15108" max="15108" width="11.140625" style="7" customWidth="1"/>
    <col min="15109" max="15358" width="11.42578125" style="7"/>
    <col min="15359" max="15359" width="5.42578125" style="7" customWidth="1"/>
    <col min="15360" max="15360" width="25.42578125" style="7" customWidth="1"/>
    <col min="15361" max="15361" width="9.140625" style="7" customWidth="1"/>
    <col min="15362" max="15362" width="8.42578125" style="7" customWidth="1"/>
    <col min="15363" max="15363" width="33.5703125" style="7" customWidth="1"/>
    <col min="15364" max="15364" width="11.140625" style="7" customWidth="1"/>
    <col min="15365" max="15614" width="11.42578125" style="7"/>
    <col min="15615" max="15615" width="5.42578125" style="7" customWidth="1"/>
    <col min="15616" max="15616" width="25.42578125" style="7" customWidth="1"/>
    <col min="15617" max="15617" width="9.140625" style="7" customWidth="1"/>
    <col min="15618" max="15618" width="8.42578125" style="7" customWidth="1"/>
    <col min="15619" max="15619" width="33.5703125" style="7" customWidth="1"/>
    <col min="15620" max="15620" width="11.140625" style="7" customWidth="1"/>
    <col min="15621" max="15870" width="11.42578125" style="7"/>
    <col min="15871" max="15871" width="5.42578125" style="7" customWidth="1"/>
    <col min="15872" max="15872" width="25.42578125" style="7" customWidth="1"/>
    <col min="15873" max="15873" width="9.140625" style="7" customWidth="1"/>
    <col min="15874" max="15874" width="8.42578125" style="7" customWidth="1"/>
    <col min="15875" max="15875" width="33.5703125" style="7" customWidth="1"/>
    <col min="15876" max="15876" width="11.140625" style="7" customWidth="1"/>
    <col min="15877" max="16126" width="11.42578125" style="7"/>
    <col min="16127" max="16127" width="5.42578125" style="7" customWidth="1"/>
    <col min="16128" max="16128" width="25.42578125" style="7" customWidth="1"/>
    <col min="16129" max="16129" width="9.140625" style="7" customWidth="1"/>
    <col min="16130" max="16130" width="8.42578125" style="7" customWidth="1"/>
    <col min="16131" max="16131" width="33.5703125" style="7" customWidth="1"/>
    <col min="16132" max="16132" width="11.140625" style="7" customWidth="1"/>
    <col min="16133" max="16384" width="11.42578125" style="7"/>
  </cols>
  <sheetData>
    <row r="1" spans="1:10" ht="15" customHeight="1">
      <c r="J1" s="64" t="s">
        <v>48</v>
      </c>
    </row>
    <row r="2" spans="1:10" ht="15" customHeight="1">
      <c r="J2" s="6"/>
    </row>
    <row r="3" spans="1:10" ht="15" customHeight="1">
      <c r="J3" s="177"/>
    </row>
    <row r="4" spans="1:10" s="15" customFormat="1" ht="15" customHeight="1">
      <c r="A4" s="14"/>
    </row>
    <row r="5" spans="1:10" ht="21" customHeight="1">
      <c r="A5" s="52" t="s">
        <v>283</v>
      </c>
      <c r="B5" s="53"/>
      <c r="C5" s="53"/>
      <c r="D5" s="53"/>
      <c r="E5" s="53"/>
      <c r="F5" s="53"/>
      <c r="G5" s="53"/>
      <c r="H5" s="53"/>
      <c r="I5" s="54"/>
      <c r="J5" s="54"/>
    </row>
    <row r="6" spans="1:10" ht="7.5" customHeight="1">
      <c r="A6" s="4"/>
      <c r="B6" s="4"/>
      <c r="C6" s="4"/>
      <c r="D6" s="4"/>
      <c r="E6" s="4"/>
      <c r="F6" s="4"/>
      <c r="G6" s="4"/>
      <c r="H6" s="4"/>
      <c r="I6" s="4"/>
      <c r="J6" s="4"/>
    </row>
    <row r="7" spans="1:10" ht="19.5" customHeight="1">
      <c r="A7" s="19" t="s">
        <v>33</v>
      </c>
      <c r="B7" s="19" t="s">
        <v>34</v>
      </c>
      <c r="C7" s="19">
        <v>2012</v>
      </c>
      <c r="D7" s="19">
        <v>2013</v>
      </c>
      <c r="E7" s="19">
        <v>2014</v>
      </c>
      <c r="F7" s="19">
        <v>2015</v>
      </c>
      <c r="G7" s="19">
        <v>2016</v>
      </c>
      <c r="H7" s="19">
        <v>2017</v>
      </c>
      <c r="I7" s="19">
        <v>2018</v>
      </c>
      <c r="J7" s="19">
        <v>2019</v>
      </c>
    </row>
    <row r="8" spans="1:10" ht="6.75" customHeight="1">
      <c r="A8" s="4"/>
      <c r="B8" s="4"/>
      <c r="C8" s="4"/>
      <c r="D8" s="4"/>
      <c r="E8" s="4"/>
      <c r="F8" s="4"/>
      <c r="G8" s="4"/>
      <c r="H8" s="4"/>
      <c r="I8" s="4"/>
      <c r="J8" s="4"/>
    </row>
    <row r="9" spans="1:10" ht="20.100000000000001" customHeight="1">
      <c r="A9" s="57" t="s">
        <v>256</v>
      </c>
      <c r="B9" s="55"/>
      <c r="C9" s="55"/>
      <c r="D9" s="55"/>
      <c r="E9" s="55"/>
      <c r="F9" s="55"/>
      <c r="G9" s="55"/>
      <c r="H9" s="55"/>
      <c r="I9" s="56"/>
      <c r="J9" s="56"/>
    </row>
    <row r="10" spans="1:10" ht="30" customHeight="1">
      <c r="A10" s="88">
        <v>1</v>
      </c>
      <c r="B10" s="59" t="s">
        <v>150</v>
      </c>
      <c r="C10" s="104">
        <f>abandono!$B$8</f>
        <v>16.319880955435263</v>
      </c>
      <c r="D10" s="104">
        <f>abandono!$B$9</f>
        <v>15.580184435082289</v>
      </c>
      <c r="E10" s="105">
        <f>abandono!$B$10</f>
        <v>12.691080045346293</v>
      </c>
      <c r="F10" s="105">
        <f>abandono!$B$11</f>
        <v>14.848337789995147</v>
      </c>
      <c r="G10" s="105">
        <f>abandono!$B$12</f>
        <v>13.953060374470883</v>
      </c>
      <c r="H10" s="105" t="e">
        <f>abandono!#REF!</f>
        <v>#REF!</v>
      </c>
      <c r="I10" s="105" t="e">
        <f>abandono!#REF!</f>
        <v>#REF!</v>
      </c>
      <c r="J10" s="105" t="e">
        <f>abandono!#REF!</f>
        <v>#REF!</v>
      </c>
    </row>
    <row r="12" spans="1:10" ht="30" customHeight="1">
      <c r="A12" s="88">
        <v>3</v>
      </c>
      <c r="B12" s="59" t="s">
        <v>282</v>
      </c>
      <c r="C12" s="104" t="s">
        <v>2</v>
      </c>
      <c r="D12" s="104" t="s">
        <v>2</v>
      </c>
      <c r="E12" s="105" t="s">
        <v>2</v>
      </c>
      <c r="F12" s="105" t="s">
        <v>2</v>
      </c>
      <c r="G12" s="105">
        <f>tasaegreso!$B$12</f>
        <v>0</v>
      </c>
      <c r="H12" s="105">
        <f>tasaegreso!$B$13</f>
        <v>0</v>
      </c>
      <c r="I12" s="105">
        <f>tasaegreso!$B$14</f>
        <v>0</v>
      </c>
      <c r="J12" s="105">
        <f>tasaegreso!$B$16</f>
        <v>0</v>
      </c>
    </row>
    <row r="13" spans="1:10" ht="30" customHeight="1">
      <c r="A13" s="162">
        <v>4</v>
      </c>
      <c r="B13" s="163" t="s">
        <v>287</v>
      </c>
      <c r="C13" s="97">
        <f>titulacion!$B$8</f>
        <v>84.02268009922544</v>
      </c>
      <c r="D13" s="97">
        <f>titulacion!$B$9</f>
        <v>84.709180098107922</v>
      </c>
      <c r="E13" s="98">
        <f>titulacion!$B$10</f>
        <v>83.143353656740587</v>
      </c>
      <c r="F13" s="98">
        <f>titulacion!$B$11</f>
        <v>81.468016114768588</v>
      </c>
      <c r="G13" s="98">
        <f>titulacion!$B$12</f>
        <v>80.885759845954809</v>
      </c>
      <c r="H13" s="98" t="e">
        <f>titulacion!#REF!</f>
        <v>#REF!</v>
      </c>
      <c r="I13" s="98" t="e">
        <f>titulacion!#REF!</f>
        <v>#REF!</v>
      </c>
      <c r="J13" s="98" t="e">
        <f>titulacion!#REF!</f>
        <v>#REF!</v>
      </c>
    </row>
    <row r="14" spans="1:10" ht="20.100000000000001" customHeight="1">
      <c r="A14" s="57" t="s">
        <v>257</v>
      </c>
      <c r="B14" s="55"/>
      <c r="C14" s="55"/>
      <c r="D14" s="55"/>
      <c r="E14" s="55"/>
      <c r="F14" s="55"/>
      <c r="G14" s="55"/>
      <c r="H14" s="55"/>
      <c r="I14" s="56"/>
      <c r="J14" s="56"/>
    </row>
    <row r="15" spans="1:10" ht="30" customHeight="1">
      <c r="A15" s="88">
        <v>5</v>
      </c>
      <c r="B15" s="59" t="s">
        <v>151</v>
      </c>
      <c r="C15" s="104">
        <f>reprobacion!$B$8</f>
        <v>22.104985306280465</v>
      </c>
      <c r="D15" s="104">
        <f>reprobacion!$B$9</f>
        <v>19.023028965837586</v>
      </c>
      <c r="E15" s="105">
        <f>reprobacion!$B$10</f>
        <v>8.7322168197370793</v>
      </c>
      <c r="F15" s="105">
        <f>reprobacion!$B$11</f>
        <v>16.100551764714325</v>
      </c>
      <c r="G15" s="105" t="e">
        <f>reprobacion!#REF!</f>
        <v>#REF!</v>
      </c>
      <c r="H15" s="105" t="e">
        <f>reprobacion!#REF!</f>
        <v>#REF!</v>
      </c>
      <c r="I15" s="105" t="e">
        <f>reprobacion!#REF!</f>
        <v>#REF!</v>
      </c>
      <c r="J15" s="105">
        <f>reprobacion!$B$12</f>
        <v>16.964893445326261</v>
      </c>
    </row>
    <row r="16" spans="1:10" ht="30" customHeight="1">
      <c r="A16" s="223">
        <v>6</v>
      </c>
      <c r="B16" s="224" t="s">
        <v>288</v>
      </c>
      <c r="C16" s="101">
        <f>costo!$B$8</f>
        <v>17596.600771310892</v>
      </c>
      <c r="D16" s="101">
        <f>costo!$B$9</f>
        <v>18155.932300017314</v>
      </c>
      <c r="E16" s="91">
        <f>costo!$B$10</f>
        <v>18764.38587228108</v>
      </c>
      <c r="F16" s="91">
        <f>costo!$B$11</f>
        <v>19454.776944934765</v>
      </c>
      <c r="G16" s="91">
        <f>costo!$B$12</f>
        <v>19699.358796076998</v>
      </c>
      <c r="H16" s="91" t="e">
        <f>costo!#REF!</f>
        <v>#REF!</v>
      </c>
      <c r="I16" s="91" t="e">
        <f>costo!#REF!</f>
        <v>#REF!</v>
      </c>
      <c r="J16" s="91" t="e">
        <f>costo!#REF!</f>
        <v>#REF!</v>
      </c>
    </row>
    <row r="17" spans="1:10" ht="30" customHeight="1">
      <c r="A17" s="223">
        <v>7</v>
      </c>
      <c r="B17" s="224" t="s">
        <v>289</v>
      </c>
      <c r="C17" s="104">
        <f>bexterno!$B$8</f>
        <v>3.9060089196677703</v>
      </c>
      <c r="D17" s="104">
        <f>bexterno!$B$9</f>
        <v>3.8387527810538766</v>
      </c>
      <c r="E17" s="105">
        <f>bexterno!$B$10</f>
        <v>0.4162446137360723</v>
      </c>
      <c r="F17" s="105">
        <f>bexterno!$B$11</f>
        <v>1.9934327143811932</v>
      </c>
      <c r="G17" s="105">
        <f>bexterno!$B$12</f>
        <v>3.0219309584398837</v>
      </c>
      <c r="H17" s="105" t="e">
        <f>bexterno!#REF!</f>
        <v>#REF!</v>
      </c>
      <c r="I17" s="105" t="e">
        <f>bexterno!#REF!</f>
        <v>#REF!</v>
      </c>
      <c r="J17" s="105" t="e">
        <f>bexterno!#REF!</f>
        <v>#REF!</v>
      </c>
    </row>
    <row r="18" spans="1:10" ht="20.100000000000001" customHeight="1">
      <c r="A18" s="57" t="s">
        <v>259</v>
      </c>
      <c r="B18" s="55"/>
      <c r="C18" s="55"/>
      <c r="D18" s="55"/>
      <c r="E18" s="55"/>
      <c r="F18" s="55"/>
      <c r="G18" s="55"/>
      <c r="H18" s="55"/>
      <c r="I18" s="56"/>
      <c r="J18" s="56"/>
    </row>
    <row r="19" spans="1:10" ht="30" customHeight="1">
      <c r="A19" s="162">
        <v>8</v>
      </c>
      <c r="B19" s="163" t="s">
        <v>99</v>
      </c>
      <c r="C19" s="164">
        <f>cobertura!B18</f>
        <v>5.7170512311640049</v>
      </c>
      <c r="D19" s="164">
        <f>cobertura!$B19</f>
        <v>3.5256829811803039</v>
      </c>
      <c r="E19" s="164">
        <f>cobertura!$B20</f>
        <v>3.0465010292488626</v>
      </c>
      <c r="F19" s="164">
        <f>cobertura!$B21</f>
        <v>2.9062752354049461</v>
      </c>
      <c r="G19" s="164">
        <f>cobertura!$B22</f>
        <v>1.7496854226792733</v>
      </c>
      <c r="H19" s="164">
        <f>cobertura!$B23</f>
        <v>3.7107633791644732</v>
      </c>
      <c r="I19" s="164">
        <f>cobertura!$B24</f>
        <v>5.5168676881490208</v>
      </c>
      <c r="J19" s="164">
        <f>cobertura!$B25</f>
        <v>3.1996995829920096</v>
      </c>
    </row>
    <row r="20" spans="1:10" ht="30" customHeight="1">
      <c r="A20" s="88">
        <v>9</v>
      </c>
      <c r="B20" s="171" t="s">
        <v>286</v>
      </c>
      <c r="C20" s="102">
        <f>demanda!B8</f>
        <v>81.04278601558201</v>
      </c>
      <c r="D20" s="102">
        <f>demanda!$B9</f>
        <v>85.679834554313146</v>
      </c>
      <c r="E20" s="103">
        <f>demanda!$B10</f>
        <v>86.388435835630673</v>
      </c>
      <c r="F20" s="103">
        <f>demanda!$B11</f>
        <v>88.471603313694416</v>
      </c>
      <c r="G20" s="103">
        <f>demanda!$B12</f>
        <v>86.481377068753943</v>
      </c>
      <c r="H20" s="103" t="e">
        <f>demanda!#REF!</f>
        <v>#REF!</v>
      </c>
      <c r="I20" s="103" t="e">
        <f>demanda!#REF!</f>
        <v>#REF!</v>
      </c>
      <c r="J20" s="103" t="e">
        <f>demanda!#REF!</f>
        <v>#REF!</v>
      </c>
    </row>
    <row r="21" spans="1:10" ht="30" customHeight="1">
      <c r="A21" s="89">
        <v>10</v>
      </c>
      <c r="B21" s="61" t="s">
        <v>96</v>
      </c>
      <c r="C21" s="94">
        <f>absorcion!B8</f>
        <v>5.7563120080126753</v>
      </c>
      <c r="D21" s="94">
        <f>absorcion!$B9</f>
        <v>6.2618384857804967</v>
      </c>
      <c r="E21" s="94">
        <f>absorcion!$B10</f>
        <v>6.1427280475920947</v>
      </c>
      <c r="F21" s="94">
        <f>absorcion!$B11</f>
        <v>5.8313559384679063</v>
      </c>
      <c r="G21" s="94">
        <f>absorcion!$B12</f>
        <v>6.3773420070076163</v>
      </c>
      <c r="H21" s="94" t="e">
        <f>absorcion!#REF!</f>
        <v>#REF!</v>
      </c>
      <c r="I21" s="94" t="e">
        <f>absorcion!#REF!</f>
        <v>#REF!</v>
      </c>
      <c r="J21" s="94" t="e">
        <f>absorcion!#REF!</f>
        <v>#REF!</v>
      </c>
    </row>
    <row r="22" spans="1:10" ht="30" customHeight="1">
      <c r="A22" s="169">
        <v>11</v>
      </c>
      <c r="B22" s="170" t="s">
        <v>285</v>
      </c>
      <c r="C22" s="101">
        <f>matricula!$B$8</f>
        <v>307859</v>
      </c>
      <c r="D22" s="101">
        <f>matricula!$B$9</f>
        <v>306089</v>
      </c>
      <c r="E22" s="91">
        <f>matricula!$B$10</f>
        <v>307031</v>
      </c>
      <c r="F22" s="91">
        <f>matricula!$B$11</f>
        <v>309717</v>
      </c>
      <c r="G22" s="91">
        <f>matricula!$B$12</f>
        <v>321053</v>
      </c>
      <c r="H22" s="91" t="e">
        <f>matricula!#REF!</f>
        <v>#REF!</v>
      </c>
      <c r="I22" s="91" t="e">
        <f>matricula!#REF!</f>
        <v>#REF!</v>
      </c>
      <c r="J22" s="91" t="e">
        <f>matricula!#REF!</f>
        <v>#REF!</v>
      </c>
    </row>
    <row r="23" spans="1:10" ht="30" customHeight="1">
      <c r="A23" s="89">
        <v>12</v>
      </c>
      <c r="B23" s="61" t="s">
        <v>36</v>
      </c>
      <c r="C23" s="165">
        <f>capacitacion!$B$8</f>
        <v>164018</v>
      </c>
      <c r="D23" s="165">
        <f>capacitacion!$B$9</f>
        <v>149444</v>
      </c>
      <c r="E23" s="166">
        <f>capacitacion!$B$10</f>
        <v>84543</v>
      </c>
      <c r="F23" s="166">
        <f>capacitacion!$B$11</f>
        <v>119725</v>
      </c>
      <c r="G23" s="166">
        <f>capacitacion!$B$12</f>
        <v>148628</v>
      </c>
      <c r="H23" s="166" t="e">
        <f>capacitacion!#REF!</f>
        <v>#REF!</v>
      </c>
      <c r="I23" s="166" t="e">
        <f>capacitacion!#REF!</f>
        <v>#REF!</v>
      </c>
      <c r="J23" s="166" t="e">
        <f>capacitacion!#REF!</f>
        <v>#REF!</v>
      </c>
    </row>
    <row r="24" spans="1:10" ht="30" customHeight="1">
      <c r="A24" s="90">
        <v>13</v>
      </c>
      <c r="B24" s="20" t="s">
        <v>38</v>
      </c>
      <c r="C24" s="101">
        <f>servtec!$B$8</f>
        <v>20186</v>
      </c>
      <c r="D24" s="101">
        <f>servtec!$B$9</f>
        <v>17392</v>
      </c>
      <c r="E24" s="91">
        <f>servtec!$B$10</f>
        <v>6838</v>
      </c>
      <c r="F24" s="91">
        <f>servtec!$B$11</f>
        <v>9685</v>
      </c>
      <c r="G24" s="91">
        <f>servtec!$B$12</f>
        <v>11282</v>
      </c>
      <c r="H24" s="91" t="e">
        <f>servtec!#REF!</f>
        <v>#REF!</v>
      </c>
      <c r="I24" s="91" t="e">
        <f>servtec!#REF!</f>
        <v>#REF!</v>
      </c>
      <c r="J24" s="91" t="e">
        <f>servtec!#REF!</f>
        <v>#REF!</v>
      </c>
    </row>
    <row r="25" spans="1:10" ht="30" customHeight="1">
      <c r="A25" s="167">
        <v>14</v>
      </c>
      <c r="B25" s="168" t="s">
        <v>284</v>
      </c>
      <c r="C25" s="165"/>
      <c r="D25" s="165">
        <f>certificacion!$B$9</f>
        <v>163434</v>
      </c>
      <c r="E25" s="166">
        <f>certificacion!$B$10</f>
        <v>174827</v>
      </c>
      <c r="F25" s="166">
        <f>certificacion!$B$11</f>
        <v>88578</v>
      </c>
      <c r="G25" s="166">
        <f>certificacion!$B$12</f>
        <v>92502</v>
      </c>
      <c r="H25" s="166">
        <f>certificacion!$B$13</f>
        <v>78858</v>
      </c>
      <c r="I25" s="166" t="e">
        <f>certificacion!#REF!</f>
        <v>#REF!</v>
      </c>
      <c r="J25" s="166" t="e">
        <f>certificacion!#REF!</f>
        <v>#REF!</v>
      </c>
    </row>
    <row r="26" spans="1:10" ht="20.100000000000001" customHeight="1">
      <c r="A26" s="57" t="s">
        <v>258</v>
      </c>
      <c r="B26" s="55"/>
      <c r="C26" s="55"/>
      <c r="D26" s="55"/>
      <c r="E26" s="55"/>
      <c r="F26" s="55"/>
      <c r="G26" s="55"/>
      <c r="H26" s="55"/>
      <c r="I26" s="56"/>
      <c r="J26" s="56"/>
    </row>
    <row r="27" spans="1:10" ht="30" customHeight="1">
      <c r="A27" s="90">
        <v>15</v>
      </c>
      <c r="B27" s="58" t="s">
        <v>290</v>
      </c>
      <c r="C27" s="104">
        <f>capacidad!$B$8</f>
        <v>73.271848819497336</v>
      </c>
      <c r="D27" s="104">
        <f>capacidad!$B$9</f>
        <v>72.136359351432873</v>
      </c>
      <c r="E27" s="105">
        <f>capacidad!$B$10</f>
        <v>72.358361613876326</v>
      </c>
      <c r="F27" s="105">
        <f>capacidad!$B$11</f>
        <v>73.046462264150946</v>
      </c>
      <c r="G27" s="105">
        <f>capacidad!$B$12</f>
        <v>75.307984612497663</v>
      </c>
      <c r="H27" s="105" t="e">
        <f>capacidad!#REF!</f>
        <v>#REF!</v>
      </c>
      <c r="I27" s="105" t="e">
        <f>capacidad!#REF!</f>
        <v>#REF!</v>
      </c>
      <c r="J27" s="105" t="e">
        <f>capacidad!#REF!</f>
        <v>#REF!</v>
      </c>
    </row>
    <row r="28" spans="1:10" s="16" customFormat="1" ht="30" customHeight="1">
      <c r="A28" s="89">
        <v>16</v>
      </c>
      <c r="B28" s="61" t="s">
        <v>35</v>
      </c>
      <c r="C28" s="97">
        <f>adocente!$B$8</f>
        <v>19.570211683936176</v>
      </c>
      <c r="D28" s="97">
        <f>adocente!$B$9</f>
        <v>19.695579435042792</v>
      </c>
      <c r="E28" s="98">
        <f>adocente!$B$10</f>
        <v>19.987696113534277</v>
      </c>
      <c r="F28" s="98">
        <f>adocente!$B$11</f>
        <v>20.419106012658229</v>
      </c>
      <c r="G28" s="98">
        <f>adocente!$B$12</f>
        <v>21.226644628099173</v>
      </c>
      <c r="H28" s="98" t="e">
        <f>adocente!#REF!</f>
        <v>#REF!</v>
      </c>
      <c r="I28" s="98" t="e">
        <f>adocente!#REF!</f>
        <v>#REF!</v>
      </c>
      <c r="J28" s="98" t="e">
        <f>adocente!#REF!</f>
        <v>#REF!</v>
      </c>
    </row>
    <row r="29" spans="1:10" ht="30" customHeight="1">
      <c r="A29" s="90">
        <v>17</v>
      </c>
      <c r="B29" s="20" t="s">
        <v>272</v>
      </c>
      <c r="C29" s="104">
        <f>PCSINEMS!$B$8</f>
        <v>0</v>
      </c>
      <c r="D29" s="104">
        <f>PCSINEMS!$B$9</f>
        <v>0</v>
      </c>
      <c r="E29" s="105">
        <f>PCSINEMS!$B$10</f>
        <v>0</v>
      </c>
      <c r="F29" s="105">
        <f>PCSINEMS!$B$11</f>
        <v>0</v>
      </c>
      <c r="G29" s="105">
        <f>PCSINEMS!$B$12</f>
        <v>0</v>
      </c>
      <c r="H29" s="105">
        <f>PCSINEMS!$B$13</f>
        <v>0</v>
      </c>
      <c r="I29" s="105">
        <f>PCSINEMS!$B$14</f>
        <v>0</v>
      </c>
      <c r="J29" s="105">
        <f>PCSINEMS!$B$15</f>
        <v>0</v>
      </c>
    </row>
    <row r="30" spans="1:10" ht="9" customHeight="1">
      <c r="A30" s="21"/>
      <c r="B30" s="22"/>
      <c r="C30" s="23"/>
      <c r="D30" s="24"/>
      <c r="E30" s="25"/>
      <c r="F30" s="25"/>
      <c r="G30" s="25"/>
      <c r="H30" s="25"/>
      <c r="I30" s="25"/>
      <c r="J30" s="25"/>
    </row>
  </sheetData>
  <printOptions horizontalCentered="1"/>
  <pageMargins left="0.31496062992125984" right="0.31496062992125984" top="0.55118110236220474" bottom="0.55118110236220474" header="0.31496062992125984" footer="0.31496062992125984"/>
  <pageSetup orientation="portrait" r:id="rId1"/>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F43"/>
  <sheetViews>
    <sheetView showGridLines="0" zoomScale="90" zoomScaleNormal="90" workbookViewId="0">
      <selection activeCell="C5" sqref="C5"/>
    </sheetView>
  </sheetViews>
  <sheetFormatPr baseColWidth="10" defaultColWidth="11.42578125" defaultRowHeight="13.5"/>
  <cols>
    <col min="1" max="1" width="23.42578125" style="48" customWidth="1"/>
    <col min="2" max="2" width="16.42578125" style="48" bestFit="1" customWidth="1"/>
    <col min="3" max="17" width="14.140625" style="210" customWidth="1"/>
    <col min="18" max="16384" width="11.42578125" style="48"/>
  </cols>
  <sheetData>
    <row r="1" spans="1:136" s="3" customFormat="1" ht="12.75" customHeight="1">
      <c r="A1"/>
      <c r="B1"/>
      <c r="C1" s="215"/>
      <c r="D1" s="215"/>
      <c r="E1" s="216"/>
      <c r="F1" s="216"/>
      <c r="G1" s="216"/>
      <c r="H1" s="216"/>
      <c r="I1" s="1"/>
      <c r="J1" s="1"/>
      <c r="K1" s="1"/>
      <c r="L1" s="1"/>
      <c r="M1" s="1"/>
      <c r="N1" s="1"/>
      <c r="O1" s="1"/>
      <c r="P1" s="1"/>
      <c r="Q1" s="1"/>
    </row>
    <row r="2" spans="1:136" ht="15.75" customHeight="1">
      <c r="A2" s="3"/>
      <c r="B2" s="3"/>
      <c r="C2" s="1"/>
      <c r="D2" s="1"/>
      <c r="E2" s="1"/>
      <c r="F2" s="1"/>
      <c r="G2" s="1"/>
      <c r="H2" s="1"/>
      <c r="I2" s="1"/>
      <c r="J2" s="214"/>
      <c r="K2" s="214"/>
      <c r="L2" s="214"/>
      <c r="M2" s="214"/>
      <c r="N2" s="214"/>
    </row>
    <row r="3" spans="1:136" s="213" customFormat="1" ht="15">
      <c r="A3" s="112"/>
      <c r="B3" s="222" t="s">
        <v>45</v>
      </c>
      <c r="C3" s="48"/>
      <c r="D3" s="48"/>
      <c r="E3" s="48"/>
      <c r="F3" s="48"/>
      <c r="G3" s="48"/>
      <c r="H3" s="48"/>
      <c r="I3" s="48"/>
      <c r="J3" s="48"/>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row>
    <row r="4" spans="1:136" ht="15">
      <c r="A4" s="47" t="s">
        <v>281</v>
      </c>
      <c r="B4" s="217">
        <v>2012</v>
      </c>
      <c r="C4" s="217">
        <v>2013</v>
      </c>
      <c r="D4" s="217">
        <v>2014</v>
      </c>
      <c r="E4" s="217">
        <v>2015</v>
      </c>
      <c r="F4" s="217">
        <v>2016</v>
      </c>
      <c r="G4" s="217">
        <v>2017</v>
      </c>
      <c r="H4" s="217">
        <v>2018</v>
      </c>
      <c r="I4" s="217">
        <v>2021</v>
      </c>
      <c r="J4" s="217">
        <v>2022</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row>
    <row r="5" spans="1:136" ht="15">
      <c r="A5" s="48" t="s">
        <v>278</v>
      </c>
      <c r="B5" s="218">
        <v>56867</v>
      </c>
      <c r="C5" s="218">
        <v>55103</v>
      </c>
      <c r="D5" s="218">
        <v>53211</v>
      </c>
      <c r="E5" s="218">
        <v>53878</v>
      </c>
      <c r="F5" s="218">
        <v>56843</v>
      </c>
      <c r="G5" s="218">
        <v>54200</v>
      </c>
      <c r="H5" s="218">
        <v>50888</v>
      </c>
      <c r="I5" s="218">
        <v>45589</v>
      </c>
      <c r="J5" s="218">
        <v>43215</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row>
    <row r="6" spans="1:136" ht="15">
      <c r="A6" s="213" t="s">
        <v>187</v>
      </c>
      <c r="B6" s="219">
        <v>416393</v>
      </c>
      <c r="C6" s="219">
        <v>321889</v>
      </c>
      <c r="D6" s="219">
        <v>226675</v>
      </c>
      <c r="E6" s="219">
        <v>146615</v>
      </c>
      <c r="F6" s="219">
        <v>142971</v>
      </c>
      <c r="G6" s="219">
        <v>167725</v>
      </c>
      <c r="H6" s="219">
        <v>164018</v>
      </c>
      <c r="I6" s="219">
        <v>119725</v>
      </c>
      <c r="J6" s="219">
        <v>148628</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row>
    <row r="7" spans="1:136" ht="15">
      <c r="A7" s="114" t="s">
        <v>186</v>
      </c>
      <c r="B7" s="219">
        <v>0</v>
      </c>
      <c r="C7" s="219">
        <v>68182</v>
      </c>
      <c r="D7" s="219">
        <v>70549</v>
      </c>
      <c r="E7" s="219">
        <v>64633</v>
      </c>
      <c r="F7" s="219">
        <v>74753</v>
      </c>
      <c r="G7" s="219">
        <v>121394</v>
      </c>
      <c r="H7" s="219">
        <v>163434</v>
      </c>
      <c r="I7" s="219">
        <v>92502</v>
      </c>
      <c r="J7" s="219">
        <v>78858</v>
      </c>
      <c r="K7"/>
      <c r="L7"/>
      <c r="M7"/>
      <c r="N7"/>
      <c r="O7"/>
      <c r="P7"/>
      <c r="Q7"/>
      <c r="R7"/>
    </row>
    <row r="8" spans="1:136" ht="15">
      <c r="A8" s="114" t="s">
        <v>175</v>
      </c>
      <c r="B8" s="220">
        <v>89.205669382792223</v>
      </c>
      <c r="C8" s="220">
        <v>88.165320830077277</v>
      </c>
      <c r="D8" s="220">
        <v>88.867786705624539</v>
      </c>
      <c r="E8" s="220">
        <v>88.360747601938229</v>
      </c>
      <c r="F8" s="220">
        <v>87.228016175772353</v>
      </c>
      <c r="G8" s="220">
        <v>85.722144428885784</v>
      </c>
      <c r="H8" s="220">
        <v>84.02268009922544</v>
      </c>
      <c r="I8" s="220">
        <v>81.468016114768588</v>
      </c>
      <c r="J8" s="220">
        <v>80.885759845954809</v>
      </c>
      <c r="K8"/>
      <c r="L8"/>
      <c r="M8"/>
      <c r="N8"/>
      <c r="O8"/>
      <c r="P8"/>
      <c r="Q8"/>
      <c r="R8"/>
    </row>
    <row r="9" spans="1:136" ht="15">
      <c r="A9" s="114" t="s">
        <v>166</v>
      </c>
      <c r="B9" s="221">
        <v>18.967869329268495</v>
      </c>
      <c r="C9" s="221">
        <v>18.128670362389165</v>
      </c>
      <c r="D9" s="221">
        <v>17.534534574117522</v>
      </c>
      <c r="E9" s="221">
        <v>17.855118955695261</v>
      </c>
      <c r="F9" s="221">
        <v>18.622029445103294</v>
      </c>
      <c r="G9" s="221">
        <v>17.601917374911103</v>
      </c>
      <c r="H9" s="221">
        <v>16.319880955435263</v>
      </c>
      <c r="I9" s="221">
        <v>14.848337789995147</v>
      </c>
      <c r="J9" s="221">
        <v>13.953060374470883</v>
      </c>
      <c r="K9"/>
      <c r="L9"/>
      <c r="M9"/>
      <c r="N9"/>
      <c r="O9"/>
      <c r="P9"/>
      <c r="Q9"/>
      <c r="R9"/>
    </row>
    <row r="10" spans="1:136" ht="15">
      <c r="A10" s="114" t="s">
        <v>157</v>
      </c>
      <c r="B10" s="221">
        <v>3.5886737030570868</v>
      </c>
      <c r="C10" s="221">
        <v>3.6066068210471562</v>
      </c>
      <c r="D10" s="221">
        <v>3.6164394797381685</v>
      </c>
      <c r="E10" s="221">
        <v>3.6499929623287373</v>
      </c>
      <c r="F10" s="221">
        <v>3.7629704979145848</v>
      </c>
      <c r="G10" s="221">
        <v>3.8761252017141592</v>
      </c>
      <c r="H10" s="221">
        <v>3.8587193062876439</v>
      </c>
      <c r="I10" s="221">
        <v>4.0729883835106735</v>
      </c>
      <c r="J10" s="221">
        <v>4.29170870344094</v>
      </c>
      <c r="K10"/>
      <c r="L10"/>
      <c r="M10"/>
      <c r="N10"/>
      <c r="O10"/>
      <c r="P10"/>
      <c r="Q10"/>
      <c r="R10"/>
    </row>
    <row r="11" spans="1:136" ht="15">
      <c r="A11" s="114" t="s">
        <v>159</v>
      </c>
      <c r="B11" s="221">
        <v>73.055395049406712</v>
      </c>
      <c r="C11" s="221">
        <v>77.31354499342477</v>
      </c>
      <c r="D11" s="221">
        <v>81.471791231450496</v>
      </c>
      <c r="E11" s="221">
        <v>83.466287481002666</v>
      </c>
      <c r="F11" s="221">
        <v>77.391225361068223</v>
      </c>
      <c r="G11" s="221">
        <v>80.070425230604357</v>
      </c>
      <c r="H11" s="221">
        <v>81.04278601558201</v>
      </c>
      <c r="I11" s="221">
        <v>88.471603313694416</v>
      </c>
      <c r="J11" s="221">
        <v>86.481377068753943</v>
      </c>
      <c r="K11"/>
      <c r="L11"/>
      <c r="M11"/>
      <c r="N11"/>
      <c r="O11"/>
      <c r="P11"/>
      <c r="Q11"/>
      <c r="R11"/>
    </row>
    <row r="12" spans="1:136" ht="15">
      <c r="A12" s="114" t="s">
        <v>161</v>
      </c>
      <c r="B12" s="221">
        <v>6.9948257468689876</v>
      </c>
      <c r="C12" s="221">
        <v>6.7917765054328934</v>
      </c>
      <c r="D12" s="221">
        <v>6.5755004782569069</v>
      </c>
      <c r="E12" s="221">
        <v>6.4057953167104937</v>
      </c>
      <c r="F12" s="221">
        <v>6.120704312031398</v>
      </c>
      <c r="G12" s="221">
        <v>5.8798564325685589</v>
      </c>
      <c r="H12" s="221">
        <v>5.7563120080126753</v>
      </c>
      <c r="I12" s="221">
        <v>5.8313559384679063</v>
      </c>
      <c r="J12" s="221">
        <v>6.3773420070076163</v>
      </c>
      <c r="K12"/>
      <c r="L12"/>
      <c r="M12"/>
      <c r="N12"/>
      <c r="O12"/>
      <c r="P12"/>
      <c r="Q12"/>
      <c r="R12"/>
    </row>
    <row r="13" spans="1:136" ht="15">
      <c r="A13" s="114" t="s">
        <v>163</v>
      </c>
      <c r="B13" s="221">
        <v>83.984029619805483</v>
      </c>
      <c r="C13" s="221">
        <v>79.092994161801499</v>
      </c>
      <c r="D13" s="221">
        <v>78.466559184522566</v>
      </c>
      <c r="E13" s="221">
        <v>79.375390056168101</v>
      </c>
      <c r="F13" s="221">
        <v>74.391428295322768</v>
      </c>
      <c r="G13" s="221">
        <v>75.085725293777699</v>
      </c>
      <c r="H13" s="221">
        <v>73.271848819497336</v>
      </c>
      <c r="I13" s="221">
        <v>73.046462264150946</v>
      </c>
      <c r="J13" s="221">
        <v>75.307984612497663</v>
      </c>
      <c r="K13"/>
      <c r="L13"/>
      <c r="M13"/>
      <c r="N13"/>
      <c r="O13"/>
      <c r="P13"/>
      <c r="Q13"/>
      <c r="R13"/>
    </row>
    <row r="14" spans="1:136" ht="15">
      <c r="A14" s="114" t="s">
        <v>168</v>
      </c>
      <c r="B14" s="221">
        <v>0</v>
      </c>
      <c r="C14" s="221">
        <v>0</v>
      </c>
      <c r="D14" s="221">
        <v>0</v>
      </c>
      <c r="E14" s="221">
        <v>0</v>
      </c>
      <c r="F14" s="221">
        <v>0</v>
      </c>
      <c r="G14" s="221">
        <v>0</v>
      </c>
      <c r="H14" s="221">
        <v>20.401547461662645</v>
      </c>
      <c r="I14" s="221">
        <v>14.490325038664329</v>
      </c>
      <c r="J14" s="221">
        <v>15.060753208971727</v>
      </c>
      <c r="K14"/>
      <c r="L14"/>
      <c r="M14"/>
      <c r="N14"/>
      <c r="O14"/>
      <c r="P14"/>
      <c r="Q14"/>
      <c r="R14"/>
    </row>
    <row r="15" spans="1:136" ht="15">
      <c r="A15" s="114" t="s">
        <v>174</v>
      </c>
      <c r="B15" s="220">
        <v>0</v>
      </c>
      <c r="C15" s="220">
        <v>0</v>
      </c>
      <c r="D15" s="220">
        <v>0</v>
      </c>
      <c r="E15" s="220">
        <v>0</v>
      </c>
      <c r="F15" s="220">
        <v>0</v>
      </c>
      <c r="G15" s="220">
        <v>0</v>
      </c>
      <c r="H15" s="220">
        <v>0</v>
      </c>
      <c r="I15" s="220">
        <v>0</v>
      </c>
      <c r="J15" s="220">
        <v>0</v>
      </c>
      <c r="K15"/>
      <c r="L15"/>
      <c r="M15"/>
      <c r="N15"/>
      <c r="O15"/>
      <c r="P15"/>
      <c r="Q15"/>
      <c r="R15"/>
    </row>
    <row r="16" spans="1:136" ht="15">
      <c r="A16" s="114" t="s">
        <v>177</v>
      </c>
      <c r="B16" s="220">
        <v>13384.843266333244</v>
      </c>
      <c r="C16" s="220">
        <v>14177.484265094292</v>
      </c>
      <c r="D16" s="220">
        <v>14605.713034552999</v>
      </c>
      <c r="E16" s="220">
        <v>14927.329292023918</v>
      </c>
      <c r="F16" s="220">
        <v>16284.499202522724</v>
      </c>
      <c r="G16" s="220">
        <v>16537.446855485283</v>
      </c>
      <c r="H16" s="220">
        <v>17596.600771310892</v>
      </c>
      <c r="I16" s="220">
        <v>19454.776944934762</v>
      </c>
      <c r="J16" s="220">
        <v>19699.358796076998</v>
      </c>
      <c r="K16"/>
      <c r="L16"/>
      <c r="M16"/>
      <c r="N16"/>
      <c r="O16"/>
      <c r="P16"/>
      <c r="Q16"/>
      <c r="R16"/>
    </row>
    <row r="17" spans="1:18" ht="15">
      <c r="A17" s="114" t="s">
        <v>172</v>
      </c>
      <c r="B17" s="220">
        <v>46.427363368393927</v>
      </c>
      <c r="C17" s="220">
        <v>48.03808424697057</v>
      </c>
      <c r="D17" s="220">
        <v>48.253539048830923</v>
      </c>
      <c r="E17" s="220">
        <v>48.868673291408641</v>
      </c>
      <c r="F17" s="220">
        <v>48.588229576711861</v>
      </c>
      <c r="G17" s="220">
        <v>49.173920620036675</v>
      </c>
      <c r="H17" s="220">
        <v>50.182474621570293</v>
      </c>
      <c r="I17" s="220">
        <v>55.71442939519914</v>
      </c>
      <c r="J17" s="220">
        <v>56.537498568132349</v>
      </c>
      <c r="K17"/>
      <c r="L17"/>
      <c r="M17"/>
      <c r="N17"/>
      <c r="O17"/>
      <c r="P17"/>
      <c r="Q17"/>
      <c r="R17"/>
    </row>
    <row r="18" spans="1:18" ht="15">
      <c r="A18" s="114" t="s">
        <v>178</v>
      </c>
      <c r="B18" s="221">
        <v>19.067498902201869</v>
      </c>
      <c r="C18" s="221">
        <v>18.855722629551387</v>
      </c>
      <c r="D18" s="221">
        <v>18.850012493753123</v>
      </c>
      <c r="E18" s="221">
        <v>19.428807841639614</v>
      </c>
      <c r="F18" s="221">
        <v>19.605310072583727</v>
      </c>
      <c r="G18" s="221">
        <v>19.909079300217087</v>
      </c>
      <c r="H18" s="221">
        <v>19.570211683936176</v>
      </c>
      <c r="I18" s="221">
        <v>20.419106012658229</v>
      </c>
      <c r="J18" s="221">
        <v>21.226644628099173</v>
      </c>
      <c r="K18"/>
      <c r="L18"/>
      <c r="M18"/>
      <c r="N18"/>
      <c r="O18"/>
      <c r="P18"/>
      <c r="Q18"/>
      <c r="R18"/>
    </row>
    <row r="19" spans="1:18" ht="15">
      <c r="A19" s="114" t="s">
        <v>181</v>
      </c>
      <c r="B19" s="221">
        <v>10.831551564393129</v>
      </c>
      <c r="C19" s="221">
        <v>10.481262736158602</v>
      </c>
      <c r="D19" s="221">
        <v>10.38479540214062</v>
      </c>
      <c r="E19" s="221">
        <v>10.505076229479988</v>
      </c>
      <c r="F19" s="221">
        <v>9.6645114717052198</v>
      </c>
      <c r="G19" s="221">
        <v>9.7867612441542953</v>
      </c>
      <c r="H19" s="221">
        <v>9.6625655189730395</v>
      </c>
      <c r="I19" s="221">
        <v>9.7208813282696713</v>
      </c>
      <c r="J19" s="221">
        <v>10.076676814914785</v>
      </c>
      <c r="K19"/>
      <c r="L19"/>
      <c r="M19"/>
      <c r="N19"/>
      <c r="O19"/>
      <c r="P19"/>
      <c r="Q19"/>
      <c r="R19"/>
    </row>
    <row r="20" spans="1:18" ht="15">
      <c r="A20" s="114" t="s">
        <v>190</v>
      </c>
      <c r="B20" s="221">
        <v>2.0137849352700234</v>
      </c>
      <c r="C20" s="221">
        <v>9.6996678353939831</v>
      </c>
      <c r="D20" s="221">
        <v>6.319448817071029</v>
      </c>
      <c r="E20" s="221">
        <v>3.451314677342209</v>
      </c>
      <c r="F20" s="221">
        <v>3.4245796811519837</v>
      </c>
      <c r="G20" s="221">
        <v>3.4202863227031326</v>
      </c>
      <c r="H20" s="221">
        <v>3.9060089196677703</v>
      </c>
      <c r="I20" s="221">
        <v>1.9934327143811932</v>
      </c>
      <c r="J20" s="221">
        <v>3.0219309584398837</v>
      </c>
      <c r="K20"/>
      <c r="L20"/>
      <c r="M20"/>
      <c r="N20"/>
      <c r="O20"/>
      <c r="P20"/>
      <c r="Q20"/>
      <c r="R20"/>
    </row>
    <row r="21" spans="1:18" ht="15">
      <c r="A21" s="114" t="s">
        <v>195</v>
      </c>
      <c r="B21" s="221">
        <v>0</v>
      </c>
      <c r="C21" s="221">
        <v>0</v>
      </c>
      <c r="D21" s="221">
        <v>0</v>
      </c>
      <c r="E21" s="221">
        <v>0</v>
      </c>
      <c r="F21" s="221">
        <v>0</v>
      </c>
      <c r="G21" s="221">
        <v>0</v>
      </c>
      <c r="H21" s="221">
        <v>0</v>
      </c>
      <c r="I21" s="221">
        <v>0</v>
      </c>
      <c r="J21" s="221">
        <v>0</v>
      </c>
      <c r="K21"/>
      <c r="L21"/>
      <c r="M21"/>
      <c r="N21"/>
      <c r="O21"/>
      <c r="P21"/>
      <c r="Q21"/>
      <c r="R21"/>
    </row>
    <row r="22" spans="1:18" ht="15">
      <c r="A22"/>
      <c r="B22"/>
      <c r="C22"/>
      <c r="D22"/>
      <c r="E22"/>
      <c r="F22"/>
      <c r="G22"/>
      <c r="H22"/>
      <c r="I22"/>
      <c r="J22"/>
      <c r="K22"/>
      <c r="L22"/>
      <c r="M22"/>
      <c r="N22"/>
      <c r="O22"/>
      <c r="P22"/>
      <c r="Q22"/>
      <c r="R22"/>
    </row>
    <row r="23" spans="1:18" ht="15">
      <c r="A23"/>
      <c r="B23"/>
      <c r="C23"/>
      <c r="D23"/>
      <c r="E23"/>
      <c r="F23"/>
      <c r="G23"/>
      <c r="H23"/>
      <c r="I23"/>
      <c r="J23"/>
      <c r="K23"/>
      <c r="L23"/>
      <c r="M23"/>
      <c r="N23"/>
      <c r="O23"/>
      <c r="P23"/>
      <c r="Q23"/>
      <c r="R23"/>
    </row>
    <row r="24" spans="1:18" ht="15">
      <c r="A24"/>
      <c r="B24"/>
      <c r="C24"/>
      <c r="D24"/>
      <c r="E24"/>
      <c r="F24"/>
      <c r="G24"/>
      <c r="H24"/>
      <c r="I24"/>
      <c r="J24"/>
      <c r="K24"/>
      <c r="L24"/>
      <c r="M24"/>
      <c r="N24"/>
      <c r="O24"/>
      <c r="P24"/>
      <c r="Q24"/>
      <c r="R24"/>
    </row>
    <row r="25" spans="1:18" ht="15">
      <c r="A25"/>
      <c r="B25"/>
      <c r="C25"/>
      <c r="D25"/>
      <c r="E25"/>
      <c r="F25"/>
      <c r="G25"/>
      <c r="H25"/>
      <c r="I25"/>
      <c r="J25"/>
      <c r="K25"/>
      <c r="L25"/>
      <c r="M25"/>
      <c r="N25"/>
      <c r="O25"/>
      <c r="P25"/>
      <c r="Q25"/>
      <c r="R25"/>
    </row>
    <row r="26" spans="1:18" ht="15">
      <c r="A26"/>
      <c r="B26"/>
      <c r="C26"/>
      <c r="D26"/>
      <c r="E26"/>
      <c r="F26"/>
      <c r="G26"/>
      <c r="H26"/>
      <c r="I26"/>
      <c r="J26"/>
      <c r="K26"/>
      <c r="L26"/>
      <c r="M26"/>
      <c r="N26"/>
      <c r="O26"/>
      <c r="P26"/>
      <c r="Q26"/>
      <c r="R26"/>
    </row>
    <row r="27" spans="1:18" ht="15">
      <c r="A27"/>
      <c r="B27"/>
      <c r="C27"/>
      <c r="D27"/>
      <c r="E27"/>
      <c r="F27"/>
      <c r="G27"/>
      <c r="H27"/>
      <c r="I27"/>
      <c r="J27"/>
      <c r="K27"/>
      <c r="L27"/>
      <c r="M27"/>
      <c r="N27"/>
      <c r="O27"/>
      <c r="P27"/>
      <c r="Q27"/>
      <c r="R27"/>
    </row>
    <row r="28" spans="1:18" ht="15">
      <c r="A28"/>
      <c r="B28"/>
      <c r="C28"/>
      <c r="D28"/>
      <c r="E28"/>
      <c r="F28"/>
      <c r="G28"/>
      <c r="H28"/>
      <c r="I28"/>
      <c r="J28"/>
      <c r="K28"/>
      <c r="L28"/>
      <c r="M28"/>
      <c r="N28"/>
      <c r="O28"/>
      <c r="P28"/>
      <c r="Q28"/>
      <c r="R28"/>
    </row>
    <row r="29" spans="1:18" ht="15">
      <c r="A29"/>
      <c r="B29"/>
      <c r="C29"/>
      <c r="D29"/>
      <c r="E29"/>
      <c r="F29"/>
      <c r="G29"/>
      <c r="H29"/>
      <c r="I29"/>
      <c r="J29"/>
      <c r="K29"/>
      <c r="L29"/>
      <c r="M29"/>
      <c r="N29"/>
      <c r="O29"/>
      <c r="P29"/>
      <c r="Q29"/>
      <c r="R29"/>
    </row>
    <row r="30" spans="1:18" ht="15">
      <c r="A30"/>
      <c r="B30"/>
      <c r="C30"/>
      <c r="D30"/>
      <c r="E30"/>
      <c r="F30"/>
      <c r="G30"/>
      <c r="H30"/>
      <c r="I30"/>
      <c r="J30"/>
      <c r="K30"/>
      <c r="L30"/>
      <c r="M30"/>
      <c r="N30"/>
      <c r="O30"/>
      <c r="P30"/>
      <c r="Q30"/>
      <c r="R30"/>
    </row>
    <row r="31" spans="1:18" ht="15">
      <c r="A31"/>
      <c r="B31"/>
      <c r="C31"/>
      <c r="D31"/>
      <c r="E31"/>
      <c r="F31"/>
      <c r="G31"/>
      <c r="H31"/>
      <c r="I31"/>
      <c r="J31"/>
      <c r="K31"/>
      <c r="L31"/>
      <c r="M31"/>
      <c r="N31"/>
      <c r="O31"/>
      <c r="P31"/>
      <c r="Q31"/>
      <c r="R31"/>
    </row>
    <row r="32" spans="1:18" ht="15">
      <c r="A32"/>
      <c r="B32"/>
      <c r="C32"/>
      <c r="D32"/>
      <c r="E32"/>
      <c r="F32"/>
      <c r="G32"/>
      <c r="H32"/>
      <c r="I32"/>
      <c r="J32"/>
      <c r="K32"/>
      <c r="L32"/>
      <c r="M32"/>
      <c r="N32"/>
      <c r="O32"/>
      <c r="P32"/>
      <c r="Q32"/>
      <c r="R32"/>
    </row>
    <row r="33" spans="1:18" ht="15">
      <c r="A33"/>
      <c r="B33"/>
      <c r="C33"/>
      <c r="D33"/>
      <c r="E33"/>
      <c r="F33"/>
      <c r="G33"/>
      <c r="H33"/>
      <c r="I33"/>
      <c r="J33"/>
      <c r="K33"/>
      <c r="L33"/>
      <c r="M33"/>
      <c r="N33"/>
      <c r="O33"/>
      <c r="P33"/>
      <c r="Q33"/>
      <c r="R33"/>
    </row>
    <row r="34" spans="1:18" ht="15">
      <c r="A34"/>
      <c r="B34"/>
      <c r="C34"/>
      <c r="D34"/>
      <c r="E34"/>
      <c r="F34"/>
      <c r="G34"/>
      <c r="H34"/>
      <c r="I34"/>
      <c r="J34"/>
      <c r="K34"/>
      <c r="L34"/>
      <c r="M34"/>
      <c r="N34"/>
      <c r="O34"/>
      <c r="P34"/>
      <c r="Q34"/>
      <c r="R34"/>
    </row>
    <row r="35" spans="1:18" ht="15">
      <c r="A35"/>
      <c r="B35"/>
      <c r="C35"/>
      <c r="D35"/>
      <c r="E35"/>
      <c r="F35"/>
      <c r="G35"/>
      <c r="H35"/>
      <c r="I35"/>
      <c r="J35"/>
      <c r="K35"/>
      <c r="L35"/>
      <c r="M35"/>
      <c r="N35"/>
      <c r="O35"/>
      <c r="P35"/>
      <c r="Q35"/>
      <c r="R35"/>
    </row>
    <row r="36" spans="1:18" ht="15">
      <c r="A36"/>
      <c r="B36"/>
      <c r="C36"/>
      <c r="D36"/>
      <c r="E36"/>
      <c r="F36"/>
      <c r="G36"/>
      <c r="H36"/>
      <c r="I36"/>
      <c r="J36"/>
      <c r="K36"/>
      <c r="L36"/>
      <c r="M36"/>
      <c r="N36"/>
      <c r="O36"/>
      <c r="P36"/>
      <c r="Q36"/>
      <c r="R36"/>
    </row>
    <row r="37" spans="1:18" ht="15">
      <c r="A37" s="3"/>
      <c r="B37" s="3"/>
      <c r="C37" s="1"/>
      <c r="D37" s="1"/>
      <c r="E37" s="1"/>
      <c r="F37" s="1"/>
      <c r="G37" s="1"/>
      <c r="H37" s="1"/>
      <c r="I37" s="1"/>
      <c r="J37" s="1"/>
      <c r="K37" s="1"/>
      <c r="L37" s="1"/>
      <c r="M37" s="1"/>
      <c r="N37" s="1"/>
      <c r="O37" s="1"/>
      <c r="P37" s="1"/>
      <c r="Q37" s="1"/>
      <c r="R37" s="3"/>
    </row>
    <row r="38" spans="1:18" ht="15" customHeight="1">
      <c r="A38" s="3"/>
      <c r="B38" s="3"/>
      <c r="C38" s="1"/>
      <c r="D38" s="1"/>
      <c r="E38" s="1"/>
      <c r="F38" s="1"/>
      <c r="G38" s="1"/>
      <c r="H38" s="1"/>
      <c r="I38" s="1"/>
      <c r="J38" s="1"/>
      <c r="K38" s="1"/>
      <c r="L38" s="1"/>
      <c r="M38" s="1"/>
      <c r="N38" s="1"/>
      <c r="O38" s="1"/>
      <c r="P38" s="1"/>
      <c r="Q38" s="1"/>
      <c r="R38" s="3"/>
    </row>
    <row r="39" spans="1:18" ht="13.5" customHeight="1">
      <c r="A39" s="3"/>
      <c r="B39" s="3"/>
      <c r="C39" s="1"/>
      <c r="D39" s="1"/>
      <c r="E39" s="1"/>
      <c r="F39" s="1"/>
      <c r="G39" s="1"/>
      <c r="H39" s="1"/>
      <c r="I39" s="1"/>
    </row>
    <row r="40" spans="1:18" ht="13.5" customHeight="1">
      <c r="A40" s="3"/>
      <c r="B40" s="3"/>
      <c r="C40" s="1"/>
      <c r="D40" s="1"/>
      <c r="E40" s="1"/>
      <c r="F40" s="1"/>
      <c r="G40" s="1"/>
      <c r="H40" s="1"/>
      <c r="I40" s="1"/>
    </row>
    <row r="41" spans="1:18" ht="21" customHeight="1">
      <c r="A41" s="3"/>
      <c r="B41" s="3"/>
      <c r="C41" s="1"/>
      <c r="D41" s="1"/>
      <c r="E41" s="1"/>
      <c r="F41" s="1"/>
      <c r="G41" s="1"/>
      <c r="H41" s="1"/>
      <c r="I41" s="1"/>
    </row>
    <row r="42" spans="1:18" ht="6" customHeight="1"/>
    <row r="43" spans="1:18" ht="24" customHeight="1">
      <c r="A43" s="174" t="s">
        <v>155</v>
      </c>
      <c r="B43" s="175"/>
      <c r="C43" s="175"/>
      <c r="D43" s="175"/>
      <c r="E43" s="175"/>
      <c r="F43" s="175"/>
      <c r="G43" s="175"/>
      <c r="H43" s="175"/>
    </row>
  </sheetData>
  <pageMargins left="0.51181102362204722" right="0.51181102362204722" top="0.55118110236220474" bottom="0.55118110236220474" header="0.31496062992125984" footer="0.31496062992125984"/>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showGridLines="0" showWhiteSpace="0" zoomScale="55" zoomScaleNormal="55" zoomScaleSheetLayoutView="100" zoomScalePageLayoutView="75" workbookViewId="0">
      <selection activeCell="I13" sqref="I13"/>
    </sheetView>
  </sheetViews>
  <sheetFormatPr baseColWidth="10" defaultRowHeight="18.75"/>
  <cols>
    <col min="1" max="1" width="81.140625" style="235" customWidth="1"/>
    <col min="2" max="7" width="18.140625" style="235" customWidth="1"/>
    <col min="8" max="250" width="11.42578125" style="235"/>
    <col min="251" max="251" width="5.42578125" style="235" customWidth="1"/>
    <col min="252" max="252" width="25.42578125" style="235" customWidth="1"/>
    <col min="253" max="253" width="9.140625" style="235" customWidth="1"/>
    <col min="254" max="254" width="8.42578125" style="235" customWidth="1"/>
    <col min="255" max="255" width="33.5703125" style="235" customWidth="1"/>
    <col min="256" max="256" width="11.140625" style="235" customWidth="1"/>
    <col min="257" max="506" width="11.42578125" style="235"/>
    <col min="507" max="507" width="5.42578125" style="235" customWidth="1"/>
    <col min="508" max="508" width="25.42578125" style="235" customWidth="1"/>
    <col min="509" max="509" width="9.140625" style="235" customWidth="1"/>
    <col min="510" max="510" width="8.42578125" style="235" customWidth="1"/>
    <col min="511" max="511" width="33.5703125" style="235" customWidth="1"/>
    <col min="512" max="512" width="11.140625" style="235" customWidth="1"/>
    <col min="513" max="762" width="11.42578125" style="235"/>
    <col min="763" max="763" width="5.42578125" style="235" customWidth="1"/>
    <col min="764" max="764" width="25.42578125" style="235" customWidth="1"/>
    <col min="765" max="765" width="9.140625" style="235" customWidth="1"/>
    <col min="766" max="766" width="8.42578125" style="235" customWidth="1"/>
    <col min="767" max="767" width="33.5703125" style="235" customWidth="1"/>
    <col min="768" max="768" width="11.140625" style="235" customWidth="1"/>
    <col min="769" max="1018" width="11.42578125" style="235"/>
    <col min="1019" max="1019" width="5.42578125" style="235" customWidth="1"/>
    <col min="1020" max="1020" width="25.42578125" style="235" customWidth="1"/>
    <col min="1021" max="1021" width="9.140625" style="235" customWidth="1"/>
    <col min="1022" max="1022" width="8.42578125" style="235" customWidth="1"/>
    <col min="1023" max="1023" width="33.5703125" style="235" customWidth="1"/>
    <col min="1024" max="1024" width="11.140625" style="235" customWidth="1"/>
    <col min="1025" max="1274" width="11.42578125" style="235"/>
    <col min="1275" max="1275" width="5.42578125" style="235" customWidth="1"/>
    <col min="1276" max="1276" width="25.42578125" style="235" customWidth="1"/>
    <col min="1277" max="1277" width="9.140625" style="235" customWidth="1"/>
    <col min="1278" max="1278" width="8.42578125" style="235" customWidth="1"/>
    <col min="1279" max="1279" width="33.5703125" style="235" customWidth="1"/>
    <col min="1280" max="1280" width="11.140625" style="235" customWidth="1"/>
    <col min="1281" max="1530" width="11.42578125" style="235"/>
    <col min="1531" max="1531" width="5.42578125" style="235" customWidth="1"/>
    <col min="1532" max="1532" width="25.42578125" style="235" customWidth="1"/>
    <col min="1533" max="1533" width="9.140625" style="235" customWidth="1"/>
    <col min="1534" max="1534" width="8.42578125" style="235" customWidth="1"/>
    <col min="1535" max="1535" width="33.5703125" style="235" customWidth="1"/>
    <col min="1536" max="1536" width="11.140625" style="235" customWidth="1"/>
    <col min="1537" max="1786" width="11.42578125" style="235"/>
    <col min="1787" max="1787" width="5.42578125" style="235" customWidth="1"/>
    <col min="1788" max="1788" width="25.42578125" style="235" customWidth="1"/>
    <col min="1789" max="1789" width="9.140625" style="235" customWidth="1"/>
    <col min="1790" max="1790" width="8.42578125" style="235" customWidth="1"/>
    <col min="1791" max="1791" width="33.5703125" style="235" customWidth="1"/>
    <col min="1792" max="1792" width="11.140625" style="235" customWidth="1"/>
    <col min="1793" max="2042" width="11.42578125" style="235"/>
    <col min="2043" max="2043" width="5.42578125" style="235" customWidth="1"/>
    <col min="2044" max="2044" width="25.42578125" style="235" customWidth="1"/>
    <col min="2045" max="2045" width="9.140625" style="235" customWidth="1"/>
    <col min="2046" max="2046" width="8.42578125" style="235" customWidth="1"/>
    <col min="2047" max="2047" width="33.5703125" style="235" customWidth="1"/>
    <col min="2048" max="2048" width="11.140625" style="235" customWidth="1"/>
    <col min="2049" max="2298" width="11.42578125" style="235"/>
    <col min="2299" max="2299" width="5.42578125" style="235" customWidth="1"/>
    <col min="2300" max="2300" width="25.42578125" style="235" customWidth="1"/>
    <col min="2301" max="2301" width="9.140625" style="235" customWidth="1"/>
    <col min="2302" max="2302" width="8.42578125" style="235" customWidth="1"/>
    <col min="2303" max="2303" width="33.5703125" style="235" customWidth="1"/>
    <col min="2304" max="2304" width="11.140625" style="235" customWidth="1"/>
    <col min="2305" max="2554" width="11.42578125" style="235"/>
    <col min="2555" max="2555" width="5.42578125" style="235" customWidth="1"/>
    <col min="2556" max="2556" width="25.42578125" style="235" customWidth="1"/>
    <col min="2557" max="2557" width="9.140625" style="235" customWidth="1"/>
    <col min="2558" max="2558" width="8.42578125" style="235" customWidth="1"/>
    <col min="2559" max="2559" width="33.5703125" style="235" customWidth="1"/>
    <col min="2560" max="2560" width="11.140625" style="235" customWidth="1"/>
    <col min="2561" max="2810" width="11.42578125" style="235"/>
    <col min="2811" max="2811" width="5.42578125" style="235" customWidth="1"/>
    <col min="2812" max="2812" width="25.42578125" style="235" customWidth="1"/>
    <col min="2813" max="2813" width="9.140625" style="235" customWidth="1"/>
    <col min="2814" max="2814" width="8.42578125" style="235" customWidth="1"/>
    <col min="2815" max="2815" width="33.5703125" style="235" customWidth="1"/>
    <col min="2816" max="2816" width="11.140625" style="235" customWidth="1"/>
    <col min="2817" max="3066" width="11.42578125" style="235"/>
    <col min="3067" max="3067" width="5.42578125" style="235" customWidth="1"/>
    <col min="3068" max="3068" width="25.42578125" style="235" customWidth="1"/>
    <col min="3069" max="3069" width="9.140625" style="235" customWidth="1"/>
    <col min="3070" max="3070" width="8.42578125" style="235" customWidth="1"/>
    <col min="3071" max="3071" width="33.5703125" style="235" customWidth="1"/>
    <col min="3072" max="3072" width="11.140625" style="235" customWidth="1"/>
    <col min="3073" max="3322" width="11.42578125" style="235"/>
    <col min="3323" max="3323" width="5.42578125" style="235" customWidth="1"/>
    <col min="3324" max="3324" width="25.42578125" style="235" customWidth="1"/>
    <col min="3325" max="3325" width="9.140625" style="235" customWidth="1"/>
    <col min="3326" max="3326" width="8.42578125" style="235" customWidth="1"/>
    <col min="3327" max="3327" width="33.5703125" style="235" customWidth="1"/>
    <col min="3328" max="3328" width="11.140625" style="235" customWidth="1"/>
    <col min="3329" max="3578" width="11.42578125" style="235"/>
    <col min="3579" max="3579" width="5.42578125" style="235" customWidth="1"/>
    <col min="3580" max="3580" width="25.42578125" style="235" customWidth="1"/>
    <col min="3581" max="3581" width="9.140625" style="235" customWidth="1"/>
    <col min="3582" max="3582" width="8.42578125" style="235" customWidth="1"/>
    <col min="3583" max="3583" width="33.5703125" style="235" customWidth="1"/>
    <col min="3584" max="3584" width="11.140625" style="235" customWidth="1"/>
    <col min="3585" max="3834" width="11.42578125" style="235"/>
    <col min="3835" max="3835" width="5.42578125" style="235" customWidth="1"/>
    <col min="3836" max="3836" width="25.42578125" style="235" customWidth="1"/>
    <col min="3837" max="3837" width="9.140625" style="235" customWidth="1"/>
    <col min="3838" max="3838" width="8.42578125" style="235" customWidth="1"/>
    <col min="3839" max="3839" width="33.5703125" style="235" customWidth="1"/>
    <col min="3840" max="3840" width="11.140625" style="235" customWidth="1"/>
    <col min="3841" max="4090" width="11.42578125" style="235"/>
    <col min="4091" max="4091" width="5.42578125" style="235" customWidth="1"/>
    <col min="4092" max="4092" width="25.42578125" style="235" customWidth="1"/>
    <col min="4093" max="4093" width="9.140625" style="235" customWidth="1"/>
    <col min="4094" max="4094" width="8.42578125" style="235" customWidth="1"/>
    <col min="4095" max="4095" width="33.5703125" style="235" customWidth="1"/>
    <col min="4096" max="4096" width="11.140625" style="235" customWidth="1"/>
    <col min="4097" max="4346" width="11.42578125" style="235"/>
    <col min="4347" max="4347" width="5.42578125" style="235" customWidth="1"/>
    <col min="4348" max="4348" width="25.42578125" style="235" customWidth="1"/>
    <col min="4349" max="4349" width="9.140625" style="235" customWidth="1"/>
    <col min="4350" max="4350" width="8.42578125" style="235" customWidth="1"/>
    <col min="4351" max="4351" width="33.5703125" style="235" customWidth="1"/>
    <col min="4352" max="4352" width="11.140625" style="235" customWidth="1"/>
    <col min="4353" max="4602" width="11.42578125" style="235"/>
    <col min="4603" max="4603" width="5.42578125" style="235" customWidth="1"/>
    <col min="4604" max="4604" width="25.42578125" style="235" customWidth="1"/>
    <col min="4605" max="4605" width="9.140625" style="235" customWidth="1"/>
    <col min="4606" max="4606" width="8.42578125" style="235" customWidth="1"/>
    <col min="4607" max="4607" width="33.5703125" style="235" customWidth="1"/>
    <col min="4608" max="4608" width="11.140625" style="235" customWidth="1"/>
    <col min="4609" max="4858" width="11.42578125" style="235"/>
    <col min="4859" max="4859" width="5.42578125" style="235" customWidth="1"/>
    <col min="4860" max="4860" width="25.42578125" style="235" customWidth="1"/>
    <col min="4861" max="4861" width="9.140625" style="235" customWidth="1"/>
    <col min="4862" max="4862" width="8.42578125" style="235" customWidth="1"/>
    <col min="4863" max="4863" width="33.5703125" style="235" customWidth="1"/>
    <col min="4864" max="4864" width="11.140625" style="235" customWidth="1"/>
    <col min="4865" max="5114" width="11.42578125" style="235"/>
    <col min="5115" max="5115" width="5.42578125" style="235" customWidth="1"/>
    <col min="5116" max="5116" width="25.42578125" style="235" customWidth="1"/>
    <col min="5117" max="5117" width="9.140625" style="235" customWidth="1"/>
    <col min="5118" max="5118" width="8.42578125" style="235" customWidth="1"/>
    <col min="5119" max="5119" width="33.5703125" style="235" customWidth="1"/>
    <col min="5120" max="5120" width="11.140625" style="235" customWidth="1"/>
    <col min="5121" max="5370" width="11.42578125" style="235"/>
    <col min="5371" max="5371" width="5.42578125" style="235" customWidth="1"/>
    <col min="5372" max="5372" width="25.42578125" style="235" customWidth="1"/>
    <col min="5373" max="5373" width="9.140625" style="235" customWidth="1"/>
    <col min="5374" max="5374" width="8.42578125" style="235" customWidth="1"/>
    <col min="5375" max="5375" width="33.5703125" style="235" customWidth="1"/>
    <col min="5376" max="5376" width="11.140625" style="235" customWidth="1"/>
    <col min="5377" max="5626" width="11.42578125" style="235"/>
    <col min="5627" max="5627" width="5.42578125" style="235" customWidth="1"/>
    <col min="5628" max="5628" width="25.42578125" style="235" customWidth="1"/>
    <col min="5629" max="5629" width="9.140625" style="235" customWidth="1"/>
    <col min="5630" max="5630" width="8.42578125" style="235" customWidth="1"/>
    <col min="5631" max="5631" width="33.5703125" style="235" customWidth="1"/>
    <col min="5632" max="5632" width="11.140625" style="235" customWidth="1"/>
    <col min="5633" max="5882" width="11.42578125" style="235"/>
    <col min="5883" max="5883" width="5.42578125" style="235" customWidth="1"/>
    <col min="5884" max="5884" width="25.42578125" style="235" customWidth="1"/>
    <col min="5885" max="5885" width="9.140625" style="235" customWidth="1"/>
    <col min="5886" max="5886" width="8.42578125" style="235" customWidth="1"/>
    <col min="5887" max="5887" width="33.5703125" style="235" customWidth="1"/>
    <col min="5888" max="5888" width="11.140625" style="235" customWidth="1"/>
    <col min="5889" max="6138" width="11.42578125" style="235"/>
    <col min="6139" max="6139" width="5.42578125" style="235" customWidth="1"/>
    <col min="6140" max="6140" width="25.42578125" style="235" customWidth="1"/>
    <col min="6141" max="6141" width="9.140625" style="235" customWidth="1"/>
    <col min="6142" max="6142" width="8.42578125" style="235" customWidth="1"/>
    <col min="6143" max="6143" width="33.5703125" style="235" customWidth="1"/>
    <col min="6144" max="6144" width="11.140625" style="235" customWidth="1"/>
    <col min="6145" max="6394" width="11.42578125" style="235"/>
    <col min="6395" max="6395" width="5.42578125" style="235" customWidth="1"/>
    <col min="6396" max="6396" width="25.42578125" style="235" customWidth="1"/>
    <col min="6397" max="6397" width="9.140625" style="235" customWidth="1"/>
    <col min="6398" max="6398" width="8.42578125" style="235" customWidth="1"/>
    <col min="6399" max="6399" width="33.5703125" style="235" customWidth="1"/>
    <col min="6400" max="6400" width="11.140625" style="235" customWidth="1"/>
    <col min="6401" max="6650" width="11.42578125" style="235"/>
    <col min="6651" max="6651" width="5.42578125" style="235" customWidth="1"/>
    <col min="6652" max="6652" width="25.42578125" style="235" customWidth="1"/>
    <col min="6653" max="6653" width="9.140625" style="235" customWidth="1"/>
    <col min="6654" max="6654" width="8.42578125" style="235" customWidth="1"/>
    <col min="6655" max="6655" width="33.5703125" style="235" customWidth="1"/>
    <col min="6656" max="6656" width="11.140625" style="235" customWidth="1"/>
    <col min="6657" max="6906" width="11.42578125" style="235"/>
    <col min="6907" max="6907" width="5.42578125" style="235" customWidth="1"/>
    <col min="6908" max="6908" width="25.42578125" style="235" customWidth="1"/>
    <col min="6909" max="6909" width="9.140625" style="235" customWidth="1"/>
    <col min="6910" max="6910" width="8.42578125" style="235" customWidth="1"/>
    <col min="6911" max="6911" width="33.5703125" style="235" customWidth="1"/>
    <col min="6912" max="6912" width="11.140625" style="235" customWidth="1"/>
    <col min="6913" max="7162" width="11.42578125" style="235"/>
    <col min="7163" max="7163" width="5.42578125" style="235" customWidth="1"/>
    <col min="7164" max="7164" width="25.42578125" style="235" customWidth="1"/>
    <col min="7165" max="7165" width="9.140625" style="235" customWidth="1"/>
    <col min="7166" max="7166" width="8.42578125" style="235" customWidth="1"/>
    <col min="7167" max="7167" width="33.5703125" style="235" customWidth="1"/>
    <col min="7168" max="7168" width="11.140625" style="235" customWidth="1"/>
    <col min="7169" max="7418" width="11.42578125" style="235"/>
    <col min="7419" max="7419" width="5.42578125" style="235" customWidth="1"/>
    <col min="7420" max="7420" width="25.42578125" style="235" customWidth="1"/>
    <col min="7421" max="7421" width="9.140625" style="235" customWidth="1"/>
    <col min="7422" max="7422" width="8.42578125" style="235" customWidth="1"/>
    <col min="7423" max="7423" width="33.5703125" style="235" customWidth="1"/>
    <col min="7424" max="7424" width="11.140625" style="235" customWidth="1"/>
    <col min="7425" max="7674" width="11.42578125" style="235"/>
    <col min="7675" max="7675" width="5.42578125" style="235" customWidth="1"/>
    <col min="7676" max="7676" width="25.42578125" style="235" customWidth="1"/>
    <col min="7677" max="7677" width="9.140625" style="235" customWidth="1"/>
    <col min="7678" max="7678" width="8.42578125" style="235" customWidth="1"/>
    <col min="7679" max="7679" width="33.5703125" style="235" customWidth="1"/>
    <col min="7680" max="7680" width="11.140625" style="235" customWidth="1"/>
    <col min="7681" max="7930" width="11.42578125" style="235"/>
    <col min="7931" max="7931" width="5.42578125" style="235" customWidth="1"/>
    <col min="7932" max="7932" width="25.42578125" style="235" customWidth="1"/>
    <col min="7933" max="7933" width="9.140625" style="235" customWidth="1"/>
    <col min="7934" max="7934" width="8.42578125" style="235" customWidth="1"/>
    <col min="7935" max="7935" width="33.5703125" style="235" customWidth="1"/>
    <col min="7936" max="7936" width="11.140625" style="235" customWidth="1"/>
    <col min="7937" max="8186" width="11.42578125" style="235"/>
    <col min="8187" max="8187" width="5.42578125" style="235" customWidth="1"/>
    <col min="8188" max="8188" width="25.42578125" style="235" customWidth="1"/>
    <col min="8189" max="8189" width="9.140625" style="235" customWidth="1"/>
    <col min="8190" max="8190" width="8.42578125" style="235" customWidth="1"/>
    <col min="8191" max="8191" width="33.5703125" style="235" customWidth="1"/>
    <col min="8192" max="8192" width="11.140625" style="235" customWidth="1"/>
    <col min="8193" max="8442" width="11.42578125" style="235"/>
    <col min="8443" max="8443" width="5.42578125" style="235" customWidth="1"/>
    <col min="8444" max="8444" width="25.42578125" style="235" customWidth="1"/>
    <col min="8445" max="8445" width="9.140625" style="235" customWidth="1"/>
    <col min="8446" max="8446" width="8.42578125" style="235" customWidth="1"/>
    <col min="8447" max="8447" width="33.5703125" style="235" customWidth="1"/>
    <col min="8448" max="8448" width="11.140625" style="235" customWidth="1"/>
    <col min="8449" max="8698" width="11.42578125" style="235"/>
    <col min="8699" max="8699" width="5.42578125" style="235" customWidth="1"/>
    <col min="8700" max="8700" width="25.42578125" style="235" customWidth="1"/>
    <col min="8701" max="8701" width="9.140625" style="235" customWidth="1"/>
    <col min="8702" max="8702" width="8.42578125" style="235" customWidth="1"/>
    <col min="8703" max="8703" width="33.5703125" style="235" customWidth="1"/>
    <col min="8704" max="8704" width="11.140625" style="235" customWidth="1"/>
    <col min="8705" max="8954" width="11.42578125" style="235"/>
    <col min="8955" max="8955" width="5.42578125" style="235" customWidth="1"/>
    <col min="8956" max="8956" width="25.42578125" style="235" customWidth="1"/>
    <col min="8957" max="8957" width="9.140625" style="235" customWidth="1"/>
    <col min="8958" max="8958" width="8.42578125" style="235" customWidth="1"/>
    <col min="8959" max="8959" width="33.5703125" style="235" customWidth="1"/>
    <col min="8960" max="8960" width="11.140625" style="235" customWidth="1"/>
    <col min="8961" max="9210" width="11.42578125" style="235"/>
    <col min="9211" max="9211" width="5.42578125" style="235" customWidth="1"/>
    <col min="9212" max="9212" width="25.42578125" style="235" customWidth="1"/>
    <col min="9213" max="9213" width="9.140625" style="235" customWidth="1"/>
    <col min="9214" max="9214" width="8.42578125" style="235" customWidth="1"/>
    <col min="9215" max="9215" width="33.5703125" style="235" customWidth="1"/>
    <col min="9216" max="9216" width="11.140625" style="235" customWidth="1"/>
    <col min="9217" max="9466" width="11.42578125" style="235"/>
    <col min="9467" max="9467" width="5.42578125" style="235" customWidth="1"/>
    <col min="9468" max="9468" width="25.42578125" style="235" customWidth="1"/>
    <col min="9469" max="9469" width="9.140625" style="235" customWidth="1"/>
    <col min="9470" max="9470" width="8.42578125" style="235" customWidth="1"/>
    <col min="9471" max="9471" width="33.5703125" style="235" customWidth="1"/>
    <col min="9472" max="9472" width="11.140625" style="235" customWidth="1"/>
    <col min="9473" max="9722" width="11.42578125" style="235"/>
    <col min="9723" max="9723" width="5.42578125" style="235" customWidth="1"/>
    <col min="9724" max="9724" width="25.42578125" style="235" customWidth="1"/>
    <col min="9725" max="9725" width="9.140625" style="235" customWidth="1"/>
    <col min="9726" max="9726" width="8.42578125" style="235" customWidth="1"/>
    <col min="9727" max="9727" width="33.5703125" style="235" customWidth="1"/>
    <col min="9728" max="9728" width="11.140625" style="235" customWidth="1"/>
    <col min="9729" max="9978" width="11.42578125" style="235"/>
    <col min="9979" max="9979" width="5.42578125" style="235" customWidth="1"/>
    <col min="9980" max="9980" width="25.42578125" style="235" customWidth="1"/>
    <col min="9981" max="9981" width="9.140625" style="235" customWidth="1"/>
    <col min="9982" max="9982" width="8.42578125" style="235" customWidth="1"/>
    <col min="9983" max="9983" width="33.5703125" style="235" customWidth="1"/>
    <col min="9984" max="9984" width="11.140625" style="235" customWidth="1"/>
    <col min="9985" max="10234" width="11.42578125" style="235"/>
    <col min="10235" max="10235" width="5.42578125" style="235" customWidth="1"/>
    <col min="10236" max="10236" width="25.42578125" style="235" customWidth="1"/>
    <col min="10237" max="10237" width="9.140625" style="235" customWidth="1"/>
    <col min="10238" max="10238" width="8.42578125" style="235" customWidth="1"/>
    <col min="10239" max="10239" width="33.5703125" style="235" customWidth="1"/>
    <col min="10240" max="10240" width="11.140625" style="235" customWidth="1"/>
    <col min="10241" max="10490" width="11.42578125" style="235"/>
    <col min="10491" max="10491" width="5.42578125" style="235" customWidth="1"/>
    <col min="10492" max="10492" width="25.42578125" style="235" customWidth="1"/>
    <col min="10493" max="10493" width="9.140625" style="235" customWidth="1"/>
    <col min="10494" max="10494" width="8.42578125" style="235" customWidth="1"/>
    <col min="10495" max="10495" width="33.5703125" style="235" customWidth="1"/>
    <col min="10496" max="10496" width="11.140625" style="235" customWidth="1"/>
    <col min="10497" max="10746" width="11.42578125" style="235"/>
    <col min="10747" max="10747" width="5.42578125" style="235" customWidth="1"/>
    <col min="10748" max="10748" width="25.42578125" style="235" customWidth="1"/>
    <col min="10749" max="10749" width="9.140625" style="235" customWidth="1"/>
    <col min="10750" max="10750" width="8.42578125" style="235" customWidth="1"/>
    <col min="10751" max="10751" width="33.5703125" style="235" customWidth="1"/>
    <col min="10752" max="10752" width="11.140625" style="235" customWidth="1"/>
    <col min="10753" max="11002" width="11.42578125" style="235"/>
    <col min="11003" max="11003" width="5.42578125" style="235" customWidth="1"/>
    <col min="11004" max="11004" width="25.42578125" style="235" customWidth="1"/>
    <col min="11005" max="11005" width="9.140625" style="235" customWidth="1"/>
    <col min="11006" max="11006" width="8.42578125" style="235" customWidth="1"/>
    <col min="11007" max="11007" width="33.5703125" style="235" customWidth="1"/>
    <col min="11008" max="11008" width="11.140625" style="235" customWidth="1"/>
    <col min="11009" max="11258" width="11.42578125" style="235"/>
    <col min="11259" max="11259" width="5.42578125" style="235" customWidth="1"/>
    <col min="11260" max="11260" width="25.42578125" style="235" customWidth="1"/>
    <col min="11261" max="11261" width="9.140625" style="235" customWidth="1"/>
    <col min="11262" max="11262" width="8.42578125" style="235" customWidth="1"/>
    <col min="11263" max="11263" width="33.5703125" style="235" customWidth="1"/>
    <col min="11264" max="11264" width="11.140625" style="235" customWidth="1"/>
    <col min="11265" max="11514" width="11.42578125" style="235"/>
    <col min="11515" max="11515" width="5.42578125" style="235" customWidth="1"/>
    <col min="11516" max="11516" width="25.42578125" style="235" customWidth="1"/>
    <col min="11517" max="11517" width="9.140625" style="235" customWidth="1"/>
    <col min="11518" max="11518" width="8.42578125" style="235" customWidth="1"/>
    <col min="11519" max="11519" width="33.5703125" style="235" customWidth="1"/>
    <col min="11520" max="11520" width="11.140625" style="235" customWidth="1"/>
    <col min="11521" max="11770" width="11.42578125" style="235"/>
    <col min="11771" max="11771" width="5.42578125" style="235" customWidth="1"/>
    <col min="11772" max="11772" width="25.42578125" style="235" customWidth="1"/>
    <col min="11773" max="11773" width="9.140625" style="235" customWidth="1"/>
    <col min="11774" max="11774" width="8.42578125" style="235" customWidth="1"/>
    <col min="11775" max="11775" width="33.5703125" style="235" customWidth="1"/>
    <col min="11776" max="11776" width="11.140625" style="235" customWidth="1"/>
    <col min="11777" max="12026" width="11.42578125" style="235"/>
    <col min="12027" max="12027" width="5.42578125" style="235" customWidth="1"/>
    <col min="12028" max="12028" width="25.42578125" style="235" customWidth="1"/>
    <col min="12029" max="12029" width="9.140625" style="235" customWidth="1"/>
    <col min="12030" max="12030" width="8.42578125" style="235" customWidth="1"/>
    <col min="12031" max="12031" width="33.5703125" style="235" customWidth="1"/>
    <col min="12032" max="12032" width="11.140625" style="235" customWidth="1"/>
    <col min="12033" max="12282" width="11.42578125" style="235"/>
    <col min="12283" max="12283" width="5.42578125" style="235" customWidth="1"/>
    <col min="12284" max="12284" width="25.42578125" style="235" customWidth="1"/>
    <col min="12285" max="12285" width="9.140625" style="235" customWidth="1"/>
    <col min="12286" max="12286" width="8.42578125" style="235" customWidth="1"/>
    <col min="12287" max="12287" width="33.5703125" style="235" customWidth="1"/>
    <col min="12288" max="12288" width="11.140625" style="235" customWidth="1"/>
    <col min="12289" max="12538" width="11.42578125" style="235"/>
    <col min="12539" max="12539" width="5.42578125" style="235" customWidth="1"/>
    <col min="12540" max="12540" width="25.42578125" style="235" customWidth="1"/>
    <col min="12541" max="12541" width="9.140625" style="235" customWidth="1"/>
    <col min="12542" max="12542" width="8.42578125" style="235" customWidth="1"/>
    <col min="12543" max="12543" width="33.5703125" style="235" customWidth="1"/>
    <col min="12544" max="12544" width="11.140625" style="235" customWidth="1"/>
    <col min="12545" max="12794" width="11.42578125" style="235"/>
    <col min="12795" max="12795" width="5.42578125" style="235" customWidth="1"/>
    <col min="12796" max="12796" width="25.42578125" style="235" customWidth="1"/>
    <col min="12797" max="12797" width="9.140625" style="235" customWidth="1"/>
    <col min="12798" max="12798" width="8.42578125" style="235" customWidth="1"/>
    <col min="12799" max="12799" width="33.5703125" style="235" customWidth="1"/>
    <col min="12800" max="12800" width="11.140625" style="235" customWidth="1"/>
    <col min="12801" max="13050" width="11.42578125" style="235"/>
    <col min="13051" max="13051" width="5.42578125" style="235" customWidth="1"/>
    <col min="13052" max="13052" width="25.42578125" style="235" customWidth="1"/>
    <col min="13053" max="13053" width="9.140625" style="235" customWidth="1"/>
    <col min="13054" max="13054" width="8.42578125" style="235" customWidth="1"/>
    <col min="13055" max="13055" width="33.5703125" style="235" customWidth="1"/>
    <col min="13056" max="13056" width="11.140625" style="235" customWidth="1"/>
    <col min="13057" max="13306" width="11.42578125" style="235"/>
    <col min="13307" max="13307" width="5.42578125" style="235" customWidth="1"/>
    <col min="13308" max="13308" width="25.42578125" style="235" customWidth="1"/>
    <col min="13309" max="13309" width="9.140625" style="235" customWidth="1"/>
    <col min="13310" max="13310" width="8.42578125" style="235" customWidth="1"/>
    <col min="13311" max="13311" width="33.5703125" style="235" customWidth="1"/>
    <col min="13312" max="13312" width="11.140625" style="235" customWidth="1"/>
    <col min="13313" max="13562" width="11.42578125" style="235"/>
    <col min="13563" max="13563" width="5.42578125" style="235" customWidth="1"/>
    <col min="13564" max="13564" width="25.42578125" style="235" customWidth="1"/>
    <col min="13565" max="13565" width="9.140625" style="235" customWidth="1"/>
    <col min="13566" max="13566" width="8.42578125" style="235" customWidth="1"/>
    <col min="13567" max="13567" width="33.5703125" style="235" customWidth="1"/>
    <col min="13568" max="13568" width="11.140625" style="235" customWidth="1"/>
    <col min="13569" max="13818" width="11.42578125" style="235"/>
    <col min="13819" max="13819" width="5.42578125" style="235" customWidth="1"/>
    <col min="13820" max="13820" width="25.42578125" style="235" customWidth="1"/>
    <col min="13821" max="13821" width="9.140625" style="235" customWidth="1"/>
    <col min="13822" max="13822" width="8.42578125" style="235" customWidth="1"/>
    <col min="13823" max="13823" width="33.5703125" style="235" customWidth="1"/>
    <col min="13824" max="13824" width="11.140625" style="235" customWidth="1"/>
    <col min="13825" max="14074" width="11.42578125" style="235"/>
    <col min="14075" max="14075" width="5.42578125" style="235" customWidth="1"/>
    <col min="14076" max="14076" width="25.42578125" style="235" customWidth="1"/>
    <col min="14077" max="14077" width="9.140625" style="235" customWidth="1"/>
    <col min="14078" max="14078" width="8.42578125" style="235" customWidth="1"/>
    <col min="14079" max="14079" width="33.5703125" style="235" customWidth="1"/>
    <col min="14080" max="14080" width="11.140625" style="235" customWidth="1"/>
    <col min="14081" max="14330" width="11.42578125" style="235"/>
    <col min="14331" max="14331" width="5.42578125" style="235" customWidth="1"/>
    <col min="14332" max="14332" width="25.42578125" style="235" customWidth="1"/>
    <col min="14333" max="14333" width="9.140625" style="235" customWidth="1"/>
    <col min="14334" max="14334" width="8.42578125" style="235" customWidth="1"/>
    <col min="14335" max="14335" width="33.5703125" style="235" customWidth="1"/>
    <col min="14336" max="14336" width="11.140625" style="235" customWidth="1"/>
    <col min="14337" max="14586" width="11.42578125" style="235"/>
    <col min="14587" max="14587" width="5.42578125" style="235" customWidth="1"/>
    <col min="14588" max="14588" width="25.42578125" style="235" customWidth="1"/>
    <col min="14589" max="14589" width="9.140625" style="235" customWidth="1"/>
    <col min="14590" max="14590" width="8.42578125" style="235" customWidth="1"/>
    <col min="14591" max="14591" width="33.5703125" style="235" customWidth="1"/>
    <col min="14592" max="14592" width="11.140625" style="235" customWidth="1"/>
    <col min="14593" max="14842" width="11.42578125" style="235"/>
    <col min="14843" max="14843" width="5.42578125" style="235" customWidth="1"/>
    <col min="14844" max="14844" width="25.42578125" style="235" customWidth="1"/>
    <col min="14845" max="14845" width="9.140625" style="235" customWidth="1"/>
    <col min="14846" max="14846" width="8.42578125" style="235" customWidth="1"/>
    <col min="14847" max="14847" width="33.5703125" style="235" customWidth="1"/>
    <col min="14848" max="14848" width="11.140625" style="235" customWidth="1"/>
    <col min="14849" max="15098" width="11.42578125" style="235"/>
    <col min="15099" max="15099" width="5.42578125" style="235" customWidth="1"/>
    <col min="15100" max="15100" width="25.42578125" style="235" customWidth="1"/>
    <col min="15101" max="15101" width="9.140625" style="235" customWidth="1"/>
    <col min="15102" max="15102" width="8.42578125" style="235" customWidth="1"/>
    <col min="15103" max="15103" width="33.5703125" style="235" customWidth="1"/>
    <col min="15104" max="15104" width="11.140625" style="235" customWidth="1"/>
    <col min="15105" max="15354" width="11.42578125" style="235"/>
    <col min="15355" max="15355" width="5.42578125" style="235" customWidth="1"/>
    <col min="15356" max="15356" width="25.42578125" style="235" customWidth="1"/>
    <col min="15357" max="15357" width="9.140625" style="235" customWidth="1"/>
    <col min="15358" max="15358" width="8.42578125" style="235" customWidth="1"/>
    <col min="15359" max="15359" width="33.5703125" style="235" customWidth="1"/>
    <col min="15360" max="15360" width="11.140625" style="235" customWidth="1"/>
    <col min="15361" max="15610" width="11.42578125" style="235"/>
    <col min="15611" max="15611" width="5.42578125" style="235" customWidth="1"/>
    <col min="15612" max="15612" width="25.42578125" style="235" customWidth="1"/>
    <col min="15613" max="15613" width="9.140625" style="235" customWidth="1"/>
    <col min="15614" max="15614" width="8.42578125" style="235" customWidth="1"/>
    <col min="15615" max="15615" width="33.5703125" style="235" customWidth="1"/>
    <col min="15616" max="15616" width="11.140625" style="235" customWidth="1"/>
    <col min="15617" max="15866" width="11.42578125" style="235"/>
    <col min="15867" max="15867" width="5.42578125" style="235" customWidth="1"/>
    <col min="15868" max="15868" width="25.42578125" style="235" customWidth="1"/>
    <col min="15869" max="15869" width="9.140625" style="235" customWidth="1"/>
    <col min="15870" max="15870" width="8.42578125" style="235" customWidth="1"/>
    <col min="15871" max="15871" width="33.5703125" style="235" customWidth="1"/>
    <col min="15872" max="15872" width="11.140625" style="235" customWidth="1"/>
    <col min="15873" max="16122" width="11.42578125" style="235"/>
    <col min="16123" max="16123" width="5.42578125" style="235" customWidth="1"/>
    <col min="16124" max="16124" width="25.42578125" style="235" customWidth="1"/>
    <col min="16125" max="16125" width="9.140625" style="235" customWidth="1"/>
    <col min="16126" max="16126" width="8.42578125" style="235" customWidth="1"/>
    <col min="16127" max="16127" width="33.5703125" style="235" customWidth="1"/>
    <col min="16128" max="16128" width="11.140625" style="235" customWidth="1"/>
    <col min="16129" max="16384" width="11.42578125" style="235"/>
  </cols>
  <sheetData>
    <row r="1" spans="1:7" ht="15" customHeight="1">
      <c r="F1" s="236" t="s">
        <v>48</v>
      </c>
      <c r="G1" s="236"/>
    </row>
    <row r="2" spans="1:7" ht="15" customHeight="1">
      <c r="F2" s="237" t="s">
        <v>42</v>
      </c>
      <c r="G2" s="237"/>
    </row>
    <row r="3" spans="1:7" ht="15" customHeight="1"/>
    <row r="4" spans="1:7" s="238" customFormat="1" ht="15" customHeight="1"/>
    <row r="5" spans="1:7" ht="7.5" customHeight="1">
      <c r="A5" s="239"/>
      <c r="B5" s="239"/>
      <c r="C5" s="239"/>
      <c r="D5" s="239"/>
      <c r="E5" s="239"/>
      <c r="F5" s="239"/>
      <c r="G5" s="239"/>
    </row>
    <row r="6" spans="1:7" ht="31.5" customHeight="1">
      <c r="A6" s="240" t="s">
        <v>34</v>
      </c>
      <c r="B6" s="240">
        <v>2012</v>
      </c>
      <c r="C6" s="240">
        <v>2013</v>
      </c>
      <c r="D6" s="240" t="s">
        <v>87</v>
      </c>
      <c r="E6" s="240">
        <v>2018</v>
      </c>
      <c r="F6" s="240">
        <v>2019</v>
      </c>
      <c r="G6" s="240" t="s">
        <v>92</v>
      </c>
    </row>
    <row r="7" spans="1:7" ht="4.5" customHeight="1">
      <c r="A7" s="241"/>
      <c r="B7" s="241"/>
      <c r="C7" s="241"/>
      <c r="D7" s="241"/>
      <c r="E7" s="241"/>
      <c r="F7" s="241"/>
      <c r="G7" s="241"/>
    </row>
    <row r="8" spans="1:7" ht="36" customHeight="1">
      <c r="A8" s="246" t="s">
        <v>99</v>
      </c>
      <c r="B8" s="242">
        <f>cobertura!B8</f>
        <v>3.8587193062876439</v>
      </c>
      <c r="C8" s="242">
        <f>cobertura!$B9</f>
        <v>3.9511727674392016</v>
      </c>
      <c r="D8" s="242">
        <f>C8-B8</f>
        <v>9.2453461151557725E-2</v>
      </c>
      <c r="E8" s="242" t="e">
        <f>cobertura!#REF!</f>
        <v>#REF!</v>
      </c>
      <c r="F8" s="242" t="e">
        <f>cobertura!#REF!</f>
        <v>#REF!</v>
      </c>
      <c r="G8" s="242" t="e">
        <f>F8-E8</f>
        <v>#REF!</v>
      </c>
    </row>
    <row r="9" spans="1:7" ht="36" customHeight="1">
      <c r="A9" s="247" t="s">
        <v>100</v>
      </c>
      <c r="B9" s="243">
        <f>demanda!B8</f>
        <v>81.04278601558201</v>
      </c>
      <c r="C9" s="243">
        <f>demanda!$B9</f>
        <v>85.679834554313146</v>
      </c>
      <c r="D9" s="243">
        <f t="shared" ref="D9:D17" si="0">C9-B9</f>
        <v>4.6370485387311362</v>
      </c>
      <c r="E9" s="248" t="e">
        <f>demanda!#REF!</f>
        <v>#REF!</v>
      </c>
      <c r="F9" s="248" t="e">
        <f>demanda!#REF!</f>
        <v>#REF!</v>
      </c>
      <c r="G9" s="243" t="e">
        <f t="shared" ref="G9:G17" si="1">F9-E9</f>
        <v>#REF!</v>
      </c>
    </row>
    <row r="10" spans="1:7" ht="36" customHeight="1">
      <c r="A10" s="249" t="s">
        <v>96</v>
      </c>
      <c r="B10" s="250">
        <f>absorcion!B8</f>
        <v>5.7563120080126753</v>
      </c>
      <c r="C10" s="250">
        <f>absorcion!$B9</f>
        <v>6.2618384857804967</v>
      </c>
      <c r="D10" s="242">
        <f t="shared" si="0"/>
        <v>0.50552647776782145</v>
      </c>
      <c r="E10" s="251" t="e">
        <f>absorcion!#REF!</f>
        <v>#REF!</v>
      </c>
      <c r="F10" s="251" t="e">
        <f>absorcion!#REF!</f>
        <v>#REF!</v>
      </c>
      <c r="G10" s="242" t="e">
        <f t="shared" si="1"/>
        <v>#REF!</v>
      </c>
    </row>
    <row r="11" spans="1:7" ht="36" customHeight="1">
      <c r="A11" s="252" t="s">
        <v>98</v>
      </c>
      <c r="B11" s="245">
        <f>matricula!$B$8</f>
        <v>307859</v>
      </c>
      <c r="C11" s="245">
        <f>matricula!$B$9</f>
        <v>306089</v>
      </c>
      <c r="D11" s="244">
        <f t="shared" si="0"/>
        <v>-1770</v>
      </c>
      <c r="E11" s="253" t="e">
        <f>matricula!#REF!</f>
        <v>#REF!</v>
      </c>
      <c r="F11" s="253" t="e">
        <f>matricula!#REF!</f>
        <v>#REF!</v>
      </c>
      <c r="G11" s="245" t="e">
        <f t="shared" si="1"/>
        <v>#REF!</v>
      </c>
    </row>
    <row r="12" spans="1:7" ht="36" customHeight="1">
      <c r="A12" s="254" t="s">
        <v>97</v>
      </c>
      <c r="B12" s="255">
        <f>capacidad!$B$8</f>
        <v>73.271848819497336</v>
      </c>
      <c r="C12" s="255">
        <f>capacidad!$B$9</f>
        <v>72.136359351432873</v>
      </c>
      <c r="D12" s="242">
        <f t="shared" si="0"/>
        <v>-1.1354894680644634</v>
      </c>
      <c r="E12" s="256" t="e">
        <f>capacidad!#REF!</f>
        <v>#REF!</v>
      </c>
      <c r="F12" s="256" t="e">
        <f>capacidad!#REF!</f>
        <v>#REF!</v>
      </c>
      <c r="G12" s="242" t="e">
        <f t="shared" si="1"/>
        <v>#REF!</v>
      </c>
    </row>
    <row r="13" spans="1:7" ht="36" customHeight="1">
      <c r="A13" s="257" t="s">
        <v>150</v>
      </c>
      <c r="B13" s="258">
        <f>abandono!$B$8</f>
        <v>16.319880955435263</v>
      </c>
      <c r="C13" s="258">
        <f>abandono!$B$9</f>
        <v>15.580184435082289</v>
      </c>
      <c r="D13" s="243">
        <f t="shared" si="0"/>
        <v>-0.73969652035297351</v>
      </c>
      <c r="E13" s="259" t="e">
        <f>abandono!#REF!</f>
        <v>#REF!</v>
      </c>
      <c r="F13" s="259" t="e">
        <f>abandono!#REF!</f>
        <v>#REF!</v>
      </c>
      <c r="G13" s="243" t="e">
        <f t="shared" si="1"/>
        <v>#REF!</v>
      </c>
    </row>
    <row r="14" spans="1:7" ht="36" customHeight="1">
      <c r="A14" s="260" t="s">
        <v>305</v>
      </c>
      <c r="B14" s="255">
        <f>eficienciat!$B$8</f>
        <v>50.182474621570293</v>
      </c>
      <c r="C14" s="255">
        <f>eficienciat!$B$9</f>
        <v>53.131455399061032</v>
      </c>
      <c r="D14" s="242">
        <f t="shared" ref="D14" si="2">C14-B14</f>
        <v>2.9489807774907391</v>
      </c>
      <c r="E14" s="256" t="e">
        <f>eficienciat!#REF!</f>
        <v>#REF!</v>
      </c>
      <c r="F14" s="256" t="e">
        <f>eficienciat!#REF!</f>
        <v>#REF!</v>
      </c>
      <c r="G14" s="242" t="e">
        <f t="shared" si="1"/>
        <v>#REF!</v>
      </c>
    </row>
    <row r="15" spans="1:7" ht="36" customHeight="1">
      <c r="A15" s="257" t="s">
        <v>151</v>
      </c>
      <c r="B15" s="258">
        <f>reprobacion!$B$8</f>
        <v>22.104985306280465</v>
      </c>
      <c r="C15" s="258">
        <f>reprobacion!$B$9</f>
        <v>19.023028965837586</v>
      </c>
      <c r="D15" s="243">
        <f t="shared" si="0"/>
        <v>-3.0819563404428791</v>
      </c>
      <c r="E15" s="259" t="e">
        <f>reprobacion!#REF!</f>
        <v>#REF!</v>
      </c>
      <c r="F15" s="259">
        <f>reprobacion!$B$12</f>
        <v>16.964893445326261</v>
      </c>
      <c r="G15" s="243" t="e">
        <f t="shared" si="1"/>
        <v>#REF!</v>
      </c>
    </row>
    <row r="16" spans="1:7" ht="36" customHeight="1">
      <c r="A16" s="260" t="s">
        <v>230</v>
      </c>
      <c r="B16" s="255">
        <f>titulacion!$B$8</f>
        <v>84.02268009922544</v>
      </c>
      <c r="C16" s="255">
        <f>titulacion!$B$9</f>
        <v>84.709180098107922</v>
      </c>
      <c r="D16" s="242">
        <f t="shared" si="0"/>
        <v>0.68649999888248203</v>
      </c>
      <c r="E16" s="256" t="e">
        <f>titulacion!#REF!</f>
        <v>#REF!</v>
      </c>
      <c r="F16" s="256" t="e">
        <f>titulacion!#REF!</f>
        <v>#REF!</v>
      </c>
      <c r="G16" s="261" t="e">
        <f t="shared" si="1"/>
        <v>#REF!</v>
      </c>
    </row>
    <row r="17" spans="1:7" ht="36" customHeight="1">
      <c r="A17" s="252" t="s">
        <v>152</v>
      </c>
      <c r="B17" s="245">
        <f>costo!$B$8</f>
        <v>17596.600771310892</v>
      </c>
      <c r="C17" s="245">
        <f>costo!$B$9</f>
        <v>18155.932300017314</v>
      </c>
      <c r="D17" s="243">
        <f t="shared" si="0"/>
        <v>559.33152870642152</v>
      </c>
      <c r="E17" s="253" t="e">
        <f>costo!#REF!</f>
        <v>#REF!</v>
      </c>
      <c r="F17" s="253" t="e">
        <f>costo!#REF!</f>
        <v>#REF!</v>
      </c>
      <c r="G17" s="243" t="e">
        <f t="shared" si="1"/>
        <v>#REF!</v>
      </c>
    </row>
  </sheetData>
  <conditionalFormatting sqref="D8 G8">
    <cfRule type="iconSet" priority="11">
      <iconSet>
        <cfvo type="percent" val="0"/>
        <cfvo type="percent" val="33"/>
        <cfvo type="percent" val="67"/>
      </iconSet>
    </cfRule>
  </conditionalFormatting>
  <conditionalFormatting sqref="D9 G9">
    <cfRule type="iconSet" priority="10">
      <iconSet>
        <cfvo type="percent" val="0"/>
        <cfvo type="percent" val="33"/>
        <cfvo type="percent" val="67"/>
      </iconSet>
    </cfRule>
  </conditionalFormatting>
  <conditionalFormatting sqref="D10 G10">
    <cfRule type="iconSet" priority="9">
      <iconSet>
        <cfvo type="percent" val="0"/>
        <cfvo type="percent" val="33"/>
        <cfvo type="percent" val="67"/>
      </iconSet>
    </cfRule>
  </conditionalFormatting>
  <conditionalFormatting sqref="D11 G11">
    <cfRule type="iconSet" priority="8">
      <iconSet>
        <cfvo type="percent" val="0"/>
        <cfvo type="percent" val="33"/>
        <cfvo type="percent" val="67"/>
      </iconSet>
    </cfRule>
  </conditionalFormatting>
  <conditionalFormatting sqref="D12 G12">
    <cfRule type="iconSet" priority="7">
      <iconSet>
        <cfvo type="percent" val="0"/>
        <cfvo type="percent" val="33"/>
        <cfvo type="percent" val="67"/>
      </iconSet>
    </cfRule>
  </conditionalFormatting>
  <conditionalFormatting sqref="D13 G13">
    <cfRule type="iconSet" priority="6">
      <iconSet reverse="1">
        <cfvo type="percent" val="0"/>
        <cfvo type="percent" val="33"/>
        <cfvo type="percent" val="67"/>
      </iconSet>
    </cfRule>
  </conditionalFormatting>
  <conditionalFormatting sqref="D14 G14">
    <cfRule type="iconSet" priority="5">
      <iconSet>
        <cfvo type="percent" val="0"/>
        <cfvo type="percent" val="33"/>
        <cfvo type="percent" val="67"/>
      </iconSet>
    </cfRule>
  </conditionalFormatting>
  <conditionalFormatting sqref="D15 G15">
    <cfRule type="iconSet" priority="4">
      <iconSet reverse="1">
        <cfvo type="percent" val="0"/>
        <cfvo type="percent" val="33"/>
        <cfvo type="percent" val="67"/>
      </iconSet>
    </cfRule>
  </conditionalFormatting>
  <conditionalFormatting sqref="D16 G16">
    <cfRule type="iconSet" priority="3">
      <iconSet>
        <cfvo type="percent" val="0"/>
        <cfvo type="percent" val="33"/>
        <cfvo type="percent" val="67"/>
      </iconSet>
    </cfRule>
  </conditionalFormatting>
  <conditionalFormatting sqref="D17 G17">
    <cfRule type="iconSet" priority="2">
      <iconSet reverse="1">
        <cfvo type="percent" val="0"/>
        <cfvo type="percent" val="33"/>
        <cfvo type="percent" val="67"/>
      </iconSet>
    </cfRule>
  </conditionalFormatting>
  <conditionalFormatting sqref="K14">
    <cfRule type="iconSet" priority="41">
      <iconSet>
        <cfvo type="percent" val="0"/>
        <cfvo type="percent" val="33"/>
        <cfvo type="percent" val="67"/>
      </iconSet>
    </cfRule>
  </conditionalFormatting>
  <printOptions horizontalCentered="1"/>
  <pageMargins left="0.31496062992125984" right="0.31496062992125984" top="0.55118110236220474" bottom="0.55118110236220474"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5"/>
  <sheetViews>
    <sheetView showGridLines="0" tabSelected="1" showWhiteSpace="0" view="pageBreakPreview" zoomScale="84" zoomScaleNormal="130" zoomScaleSheetLayoutView="84" zoomScalePageLayoutView="75" workbookViewId="0">
      <selection activeCell="L39" sqref="L39"/>
    </sheetView>
  </sheetViews>
  <sheetFormatPr baseColWidth="10" defaultRowHeight="15"/>
  <cols>
    <col min="1" max="1" width="4.42578125" style="7" customWidth="1"/>
    <col min="2" max="2" width="21.28515625" style="7" customWidth="1"/>
    <col min="3" max="7" width="10.7109375" style="7" customWidth="1"/>
    <col min="8" max="249" width="11.42578125" style="7"/>
    <col min="250" max="250" width="5.42578125" style="7" customWidth="1"/>
    <col min="251" max="251" width="25.42578125" style="7" customWidth="1"/>
    <col min="252" max="252" width="9.140625" style="7" customWidth="1"/>
    <col min="253" max="253" width="8.42578125" style="7" customWidth="1"/>
    <col min="254" max="254" width="33.5703125" style="7" customWidth="1"/>
    <col min="255" max="255" width="11.140625" style="7" customWidth="1"/>
    <col min="256" max="505" width="11.42578125" style="7"/>
    <col min="506" max="506" width="5.42578125" style="7" customWidth="1"/>
    <col min="507" max="507" width="25.42578125" style="7" customWidth="1"/>
    <col min="508" max="508" width="9.140625" style="7" customWidth="1"/>
    <col min="509" max="509" width="8.42578125" style="7" customWidth="1"/>
    <col min="510" max="510" width="33.5703125" style="7" customWidth="1"/>
    <col min="511" max="511" width="11.140625" style="7" customWidth="1"/>
    <col min="512" max="761" width="11.42578125" style="7"/>
    <col min="762" max="762" width="5.42578125" style="7" customWidth="1"/>
    <col min="763" max="763" width="25.42578125" style="7" customWidth="1"/>
    <col min="764" max="764" width="9.140625" style="7" customWidth="1"/>
    <col min="765" max="765" width="8.42578125" style="7" customWidth="1"/>
    <col min="766" max="766" width="33.5703125" style="7" customWidth="1"/>
    <col min="767" max="767" width="11.140625" style="7" customWidth="1"/>
    <col min="768" max="1017" width="11.42578125" style="7"/>
    <col min="1018" max="1018" width="5.42578125" style="7" customWidth="1"/>
    <col min="1019" max="1019" width="25.42578125" style="7" customWidth="1"/>
    <col min="1020" max="1020" width="9.140625" style="7" customWidth="1"/>
    <col min="1021" max="1021" width="8.42578125" style="7" customWidth="1"/>
    <col min="1022" max="1022" width="33.5703125" style="7" customWidth="1"/>
    <col min="1023" max="1023" width="11.140625" style="7" customWidth="1"/>
    <col min="1024" max="1273" width="11.42578125" style="7"/>
    <col min="1274" max="1274" width="5.42578125" style="7" customWidth="1"/>
    <col min="1275" max="1275" width="25.42578125" style="7" customWidth="1"/>
    <col min="1276" max="1276" width="9.140625" style="7" customWidth="1"/>
    <col min="1277" max="1277" width="8.42578125" style="7" customWidth="1"/>
    <col min="1278" max="1278" width="33.5703125" style="7" customWidth="1"/>
    <col min="1279" max="1279" width="11.140625" style="7" customWidth="1"/>
    <col min="1280" max="1529" width="11.42578125" style="7"/>
    <col min="1530" max="1530" width="5.42578125" style="7" customWidth="1"/>
    <col min="1531" max="1531" width="25.42578125" style="7" customWidth="1"/>
    <col min="1532" max="1532" width="9.140625" style="7" customWidth="1"/>
    <col min="1533" max="1533" width="8.42578125" style="7" customWidth="1"/>
    <col min="1534" max="1534" width="33.5703125" style="7" customWidth="1"/>
    <col min="1535" max="1535" width="11.140625" style="7" customWidth="1"/>
    <col min="1536" max="1785" width="11.42578125" style="7"/>
    <col min="1786" max="1786" width="5.42578125" style="7" customWidth="1"/>
    <col min="1787" max="1787" width="25.42578125" style="7" customWidth="1"/>
    <col min="1788" max="1788" width="9.140625" style="7" customWidth="1"/>
    <col min="1789" max="1789" width="8.42578125" style="7" customWidth="1"/>
    <col min="1790" max="1790" width="33.5703125" style="7" customWidth="1"/>
    <col min="1791" max="1791" width="11.140625" style="7" customWidth="1"/>
    <col min="1792" max="2041" width="11.42578125" style="7"/>
    <col min="2042" max="2042" width="5.42578125" style="7" customWidth="1"/>
    <col min="2043" max="2043" width="25.42578125" style="7" customWidth="1"/>
    <col min="2044" max="2044" width="9.140625" style="7" customWidth="1"/>
    <col min="2045" max="2045" width="8.42578125" style="7" customWidth="1"/>
    <col min="2046" max="2046" width="33.5703125" style="7" customWidth="1"/>
    <col min="2047" max="2047" width="11.140625" style="7" customWidth="1"/>
    <col min="2048" max="2297" width="11.42578125" style="7"/>
    <col min="2298" max="2298" width="5.42578125" style="7" customWidth="1"/>
    <col min="2299" max="2299" width="25.42578125" style="7" customWidth="1"/>
    <col min="2300" max="2300" width="9.140625" style="7" customWidth="1"/>
    <col min="2301" max="2301" width="8.42578125" style="7" customWidth="1"/>
    <col min="2302" max="2302" width="33.5703125" style="7" customWidth="1"/>
    <col min="2303" max="2303" width="11.140625" style="7" customWidth="1"/>
    <col min="2304" max="2553" width="11.42578125" style="7"/>
    <col min="2554" max="2554" width="5.42578125" style="7" customWidth="1"/>
    <col min="2555" max="2555" width="25.42578125" style="7" customWidth="1"/>
    <col min="2556" max="2556" width="9.140625" style="7" customWidth="1"/>
    <col min="2557" max="2557" width="8.42578125" style="7" customWidth="1"/>
    <col min="2558" max="2558" width="33.5703125" style="7" customWidth="1"/>
    <col min="2559" max="2559" width="11.140625" style="7" customWidth="1"/>
    <col min="2560" max="2809" width="11.42578125" style="7"/>
    <col min="2810" max="2810" width="5.42578125" style="7" customWidth="1"/>
    <col min="2811" max="2811" width="25.42578125" style="7" customWidth="1"/>
    <col min="2812" max="2812" width="9.140625" style="7" customWidth="1"/>
    <col min="2813" max="2813" width="8.42578125" style="7" customWidth="1"/>
    <col min="2814" max="2814" width="33.5703125" style="7" customWidth="1"/>
    <col min="2815" max="2815" width="11.140625" style="7" customWidth="1"/>
    <col min="2816" max="3065" width="11.42578125" style="7"/>
    <col min="3066" max="3066" width="5.42578125" style="7" customWidth="1"/>
    <col min="3067" max="3067" width="25.42578125" style="7" customWidth="1"/>
    <col min="3068" max="3068" width="9.140625" style="7" customWidth="1"/>
    <col min="3069" max="3069" width="8.42578125" style="7" customWidth="1"/>
    <col min="3070" max="3070" width="33.5703125" style="7" customWidth="1"/>
    <col min="3071" max="3071" width="11.140625" style="7" customWidth="1"/>
    <col min="3072" max="3321" width="11.42578125" style="7"/>
    <col min="3322" max="3322" width="5.42578125" style="7" customWidth="1"/>
    <col min="3323" max="3323" width="25.42578125" style="7" customWidth="1"/>
    <col min="3324" max="3324" width="9.140625" style="7" customWidth="1"/>
    <col min="3325" max="3325" width="8.42578125" style="7" customWidth="1"/>
    <col min="3326" max="3326" width="33.5703125" style="7" customWidth="1"/>
    <col min="3327" max="3327" width="11.140625" style="7" customWidth="1"/>
    <col min="3328" max="3577" width="11.42578125" style="7"/>
    <col min="3578" max="3578" width="5.42578125" style="7" customWidth="1"/>
    <col min="3579" max="3579" width="25.42578125" style="7" customWidth="1"/>
    <col min="3580" max="3580" width="9.140625" style="7" customWidth="1"/>
    <col min="3581" max="3581" width="8.42578125" style="7" customWidth="1"/>
    <col min="3582" max="3582" width="33.5703125" style="7" customWidth="1"/>
    <col min="3583" max="3583" width="11.140625" style="7" customWidth="1"/>
    <col min="3584" max="3833" width="11.42578125" style="7"/>
    <col min="3834" max="3834" width="5.42578125" style="7" customWidth="1"/>
    <col min="3835" max="3835" width="25.42578125" style="7" customWidth="1"/>
    <col min="3836" max="3836" width="9.140625" style="7" customWidth="1"/>
    <col min="3837" max="3837" width="8.42578125" style="7" customWidth="1"/>
    <col min="3838" max="3838" width="33.5703125" style="7" customWidth="1"/>
    <col min="3839" max="3839" width="11.140625" style="7" customWidth="1"/>
    <col min="3840" max="4089" width="11.42578125" style="7"/>
    <col min="4090" max="4090" width="5.42578125" style="7" customWidth="1"/>
    <col min="4091" max="4091" width="25.42578125" style="7" customWidth="1"/>
    <col min="4092" max="4092" width="9.140625" style="7" customWidth="1"/>
    <col min="4093" max="4093" width="8.42578125" style="7" customWidth="1"/>
    <col min="4094" max="4094" width="33.5703125" style="7" customWidth="1"/>
    <col min="4095" max="4095" width="11.140625" style="7" customWidth="1"/>
    <col min="4096" max="4345" width="11.42578125" style="7"/>
    <col min="4346" max="4346" width="5.42578125" style="7" customWidth="1"/>
    <col min="4347" max="4347" width="25.42578125" style="7" customWidth="1"/>
    <col min="4348" max="4348" width="9.140625" style="7" customWidth="1"/>
    <col min="4349" max="4349" width="8.42578125" style="7" customWidth="1"/>
    <col min="4350" max="4350" width="33.5703125" style="7" customWidth="1"/>
    <col min="4351" max="4351" width="11.140625" style="7" customWidth="1"/>
    <col min="4352" max="4601" width="11.42578125" style="7"/>
    <col min="4602" max="4602" width="5.42578125" style="7" customWidth="1"/>
    <col min="4603" max="4603" width="25.42578125" style="7" customWidth="1"/>
    <col min="4604" max="4604" width="9.140625" style="7" customWidth="1"/>
    <col min="4605" max="4605" width="8.42578125" style="7" customWidth="1"/>
    <col min="4606" max="4606" width="33.5703125" style="7" customWidth="1"/>
    <col min="4607" max="4607" width="11.140625" style="7" customWidth="1"/>
    <col min="4608" max="4857" width="11.42578125" style="7"/>
    <col min="4858" max="4858" width="5.42578125" style="7" customWidth="1"/>
    <col min="4859" max="4859" width="25.42578125" style="7" customWidth="1"/>
    <col min="4860" max="4860" width="9.140625" style="7" customWidth="1"/>
    <col min="4861" max="4861" width="8.42578125" style="7" customWidth="1"/>
    <col min="4862" max="4862" width="33.5703125" style="7" customWidth="1"/>
    <col min="4863" max="4863" width="11.140625" style="7" customWidth="1"/>
    <col min="4864" max="5113" width="11.42578125" style="7"/>
    <col min="5114" max="5114" width="5.42578125" style="7" customWidth="1"/>
    <col min="5115" max="5115" width="25.42578125" style="7" customWidth="1"/>
    <col min="5116" max="5116" width="9.140625" style="7" customWidth="1"/>
    <col min="5117" max="5117" width="8.42578125" style="7" customWidth="1"/>
    <col min="5118" max="5118" width="33.5703125" style="7" customWidth="1"/>
    <col min="5119" max="5119" width="11.140625" style="7" customWidth="1"/>
    <col min="5120" max="5369" width="11.42578125" style="7"/>
    <col min="5370" max="5370" width="5.42578125" style="7" customWidth="1"/>
    <col min="5371" max="5371" width="25.42578125" style="7" customWidth="1"/>
    <col min="5372" max="5372" width="9.140625" style="7" customWidth="1"/>
    <col min="5373" max="5373" width="8.42578125" style="7" customWidth="1"/>
    <col min="5374" max="5374" width="33.5703125" style="7" customWidth="1"/>
    <col min="5375" max="5375" width="11.140625" style="7" customWidth="1"/>
    <col min="5376" max="5625" width="11.42578125" style="7"/>
    <col min="5626" max="5626" width="5.42578125" style="7" customWidth="1"/>
    <col min="5627" max="5627" width="25.42578125" style="7" customWidth="1"/>
    <col min="5628" max="5628" width="9.140625" style="7" customWidth="1"/>
    <col min="5629" max="5629" width="8.42578125" style="7" customWidth="1"/>
    <col min="5630" max="5630" width="33.5703125" style="7" customWidth="1"/>
    <col min="5631" max="5631" width="11.140625" style="7" customWidth="1"/>
    <col min="5632" max="5881" width="11.42578125" style="7"/>
    <col min="5882" max="5882" width="5.42578125" style="7" customWidth="1"/>
    <col min="5883" max="5883" width="25.42578125" style="7" customWidth="1"/>
    <col min="5884" max="5884" width="9.140625" style="7" customWidth="1"/>
    <col min="5885" max="5885" width="8.42578125" style="7" customWidth="1"/>
    <col min="5886" max="5886" width="33.5703125" style="7" customWidth="1"/>
    <col min="5887" max="5887" width="11.140625" style="7" customWidth="1"/>
    <col min="5888" max="6137" width="11.42578125" style="7"/>
    <col min="6138" max="6138" width="5.42578125" style="7" customWidth="1"/>
    <col min="6139" max="6139" width="25.42578125" style="7" customWidth="1"/>
    <col min="6140" max="6140" width="9.140625" style="7" customWidth="1"/>
    <col min="6141" max="6141" width="8.42578125" style="7" customWidth="1"/>
    <col min="6142" max="6142" width="33.5703125" style="7" customWidth="1"/>
    <col min="6143" max="6143" width="11.140625" style="7" customWidth="1"/>
    <col min="6144" max="6393" width="11.42578125" style="7"/>
    <col min="6394" max="6394" width="5.42578125" style="7" customWidth="1"/>
    <col min="6395" max="6395" width="25.42578125" style="7" customWidth="1"/>
    <col min="6396" max="6396" width="9.140625" style="7" customWidth="1"/>
    <col min="6397" max="6397" width="8.42578125" style="7" customWidth="1"/>
    <col min="6398" max="6398" width="33.5703125" style="7" customWidth="1"/>
    <col min="6399" max="6399" width="11.140625" style="7" customWidth="1"/>
    <col min="6400" max="6649" width="11.42578125" style="7"/>
    <col min="6650" max="6650" width="5.42578125" style="7" customWidth="1"/>
    <col min="6651" max="6651" width="25.42578125" style="7" customWidth="1"/>
    <col min="6652" max="6652" width="9.140625" style="7" customWidth="1"/>
    <col min="6653" max="6653" width="8.42578125" style="7" customWidth="1"/>
    <col min="6654" max="6654" width="33.5703125" style="7" customWidth="1"/>
    <col min="6655" max="6655" width="11.140625" style="7" customWidth="1"/>
    <col min="6656" max="6905" width="11.42578125" style="7"/>
    <col min="6906" max="6906" width="5.42578125" style="7" customWidth="1"/>
    <col min="6907" max="6907" width="25.42578125" style="7" customWidth="1"/>
    <col min="6908" max="6908" width="9.140625" style="7" customWidth="1"/>
    <col min="6909" max="6909" width="8.42578125" style="7" customWidth="1"/>
    <col min="6910" max="6910" width="33.5703125" style="7" customWidth="1"/>
    <col min="6911" max="6911" width="11.140625" style="7" customWidth="1"/>
    <col min="6912" max="7161" width="11.42578125" style="7"/>
    <col min="7162" max="7162" width="5.42578125" style="7" customWidth="1"/>
    <col min="7163" max="7163" width="25.42578125" style="7" customWidth="1"/>
    <col min="7164" max="7164" width="9.140625" style="7" customWidth="1"/>
    <col min="7165" max="7165" width="8.42578125" style="7" customWidth="1"/>
    <col min="7166" max="7166" width="33.5703125" style="7" customWidth="1"/>
    <col min="7167" max="7167" width="11.140625" style="7" customWidth="1"/>
    <col min="7168" max="7417" width="11.42578125" style="7"/>
    <col min="7418" max="7418" width="5.42578125" style="7" customWidth="1"/>
    <col min="7419" max="7419" width="25.42578125" style="7" customWidth="1"/>
    <col min="7420" max="7420" width="9.140625" style="7" customWidth="1"/>
    <col min="7421" max="7421" width="8.42578125" style="7" customWidth="1"/>
    <col min="7422" max="7422" width="33.5703125" style="7" customWidth="1"/>
    <col min="7423" max="7423" width="11.140625" style="7" customWidth="1"/>
    <col min="7424" max="7673" width="11.42578125" style="7"/>
    <col min="7674" max="7674" width="5.42578125" style="7" customWidth="1"/>
    <col min="7675" max="7675" width="25.42578125" style="7" customWidth="1"/>
    <col min="7676" max="7676" width="9.140625" style="7" customWidth="1"/>
    <col min="7677" max="7677" width="8.42578125" style="7" customWidth="1"/>
    <col min="7678" max="7678" width="33.5703125" style="7" customWidth="1"/>
    <col min="7679" max="7679" width="11.140625" style="7" customWidth="1"/>
    <col min="7680" max="7929" width="11.42578125" style="7"/>
    <col min="7930" max="7930" width="5.42578125" style="7" customWidth="1"/>
    <col min="7931" max="7931" width="25.42578125" style="7" customWidth="1"/>
    <col min="7932" max="7932" width="9.140625" style="7" customWidth="1"/>
    <col min="7933" max="7933" width="8.42578125" style="7" customWidth="1"/>
    <col min="7934" max="7934" width="33.5703125" style="7" customWidth="1"/>
    <col min="7935" max="7935" width="11.140625" style="7" customWidth="1"/>
    <col min="7936" max="8185" width="11.42578125" style="7"/>
    <col min="8186" max="8186" width="5.42578125" style="7" customWidth="1"/>
    <col min="8187" max="8187" width="25.42578125" style="7" customWidth="1"/>
    <col min="8188" max="8188" width="9.140625" style="7" customWidth="1"/>
    <col min="8189" max="8189" width="8.42578125" style="7" customWidth="1"/>
    <col min="8190" max="8190" width="33.5703125" style="7" customWidth="1"/>
    <col min="8191" max="8191" width="11.140625" style="7" customWidth="1"/>
    <col min="8192" max="8441" width="11.42578125" style="7"/>
    <col min="8442" max="8442" width="5.42578125" style="7" customWidth="1"/>
    <col min="8443" max="8443" width="25.42578125" style="7" customWidth="1"/>
    <col min="8444" max="8444" width="9.140625" style="7" customWidth="1"/>
    <col min="8445" max="8445" width="8.42578125" style="7" customWidth="1"/>
    <col min="8446" max="8446" width="33.5703125" style="7" customWidth="1"/>
    <col min="8447" max="8447" width="11.140625" style="7" customWidth="1"/>
    <col min="8448" max="8697" width="11.42578125" style="7"/>
    <col min="8698" max="8698" width="5.42578125" style="7" customWidth="1"/>
    <col min="8699" max="8699" width="25.42578125" style="7" customWidth="1"/>
    <col min="8700" max="8700" width="9.140625" style="7" customWidth="1"/>
    <col min="8701" max="8701" width="8.42578125" style="7" customWidth="1"/>
    <col min="8702" max="8702" width="33.5703125" style="7" customWidth="1"/>
    <col min="8703" max="8703" width="11.140625" style="7" customWidth="1"/>
    <col min="8704" max="8953" width="11.42578125" style="7"/>
    <col min="8954" max="8954" width="5.42578125" style="7" customWidth="1"/>
    <col min="8955" max="8955" width="25.42578125" style="7" customWidth="1"/>
    <col min="8956" max="8956" width="9.140625" style="7" customWidth="1"/>
    <col min="8957" max="8957" width="8.42578125" style="7" customWidth="1"/>
    <col min="8958" max="8958" width="33.5703125" style="7" customWidth="1"/>
    <col min="8959" max="8959" width="11.140625" style="7" customWidth="1"/>
    <col min="8960" max="9209" width="11.42578125" style="7"/>
    <col min="9210" max="9210" width="5.42578125" style="7" customWidth="1"/>
    <col min="9211" max="9211" width="25.42578125" style="7" customWidth="1"/>
    <col min="9212" max="9212" width="9.140625" style="7" customWidth="1"/>
    <col min="9213" max="9213" width="8.42578125" style="7" customWidth="1"/>
    <col min="9214" max="9214" width="33.5703125" style="7" customWidth="1"/>
    <col min="9215" max="9215" width="11.140625" style="7" customWidth="1"/>
    <col min="9216" max="9465" width="11.42578125" style="7"/>
    <col min="9466" max="9466" width="5.42578125" style="7" customWidth="1"/>
    <col min="9467" max="9467" width="25.42578125" style="7" customWidth="1"/>
    <col min="9468" max="9468" width="9.140625" style="7" customWidth="1"/>
    <col min="9469" max="9469" width="8.42578125" style="7" customWidth="1"/>
    <col min="9470" max="9470" width="33.5703125" style="7" customWidth="1"/>
    <col min="9471" max="9471" width="11.140625" style="7" customWidth="1"/>
    <col min="9472" max="9721" width="11.42578125" style="7"/>
    <col min="9722" max="9722" width="5.42578125" style="7" customWidth="1"/>
    <col min="9723" max="9723" width="25.42578125" style="7" customWidth="1"/>
    <col min="9724" max="9724" width="9.140625" style="7" customWidth="1"/>
    <col min="9725" max="9725" width="8.42578125" style="7" customWidth="1"/>
    <col min="9726" max="9726" width="33.5703125" style="7" customWidth="1"/>
    <col min="9727" max="9727" width="11.140625" style="7" customWidth="1"/>
    <col min="9728" max="9977" width="11.42578125" style="7"/>
    <col min="9978" max="9978" width="5.42578125" style="7" customWidth="1"/>
    <col min="9979" max="9979" width="25.42578125" style="7" customWidth="1"/>
    <col min="9980" max="9980" width="9.140625" style="7" customWidth="1"/>
    <col min="9981" max="9981" width="8.42578125" style="7" customWidth="1"/>
    <col min="9982" max="9982" width="33.5703125" style="7" customWidth="1"/>
    <col min="9983" max="9983" width="11.140625" style="7" customWidth="1"/>
    <col min="9984" max="10233" width="11.42578125" style="7"/>
    <col min="10234" max="10234" width="5.42578125" style="7" customWidth="1"/>
    <col min="10235" max="10235" width="25.42578125" style="7" customWidth="1"/>
    <col min="10236" max="10236" width="9.140625" style="7" customWidth="1"/>
    <col min="10237" max="10237" width="8.42578125" style="7" customWidth="1"/>
    <col min="10238" max="10238" width="33.5703125" style="7" customWidth="1"/>
    <col min="10239" max="10239" width="11.140625" style="7" customWidth="1"/>
    <col min="10240" max="10489" width="11.42578125" style="7"/>
    <col min="10490" max="10490" width="5.42578125" style="7" customWidth="1"/>
    <col min="10491" max="10491" width="25.42578125" style="7" customWidth="1"/>
    <col min="10492" max="10492" width="9.140625" style="7" customWidth="1"/>
    <col min="10493" max="10493" width="8.42578125" style="7" customWidth="1"/>
    <col min="10494" max="10494" width="33.5703125" style="7" customWidth="1"/>
    <col min="10495" max="10495" width="11.140625" style="7" customWidth="1"/>
    <col min="10496" max="10745" width="11.42578125" style="7"/>
    <col min="10746" max="10746" width="5.42578125" style="7" customWidth="1"/>
    <col min="10747" max="10747" width="25.42578125" style="7" customWidth="1"/>
    <col min="10748" max="10748" width="9.140625" style="7" customWidth="1"/>
    <col min="10749" max="10749" width="8.42578125" style="7" customWidth="1"/>
    <col min="10750" max="10750" width="33.5703125" style="7" customWidth="1"/>
    <col min="10751" max="10751" width="11.140625" style="7" customWidth="1"/>
    <col min="10752" max="11001" width="11.42578125" style="7"/>
    <col min="11002" max="11002" width="5.42578125" style="7" customWidth="1"/>
    <col min="11003" max="11003" width="25.42578125" style="7" customWidth="1"/>
    <col min="11004" max="11004" width="9.140625" style="7" customWidth="1"/>
    <col min="11005" max="11005" width="8.42578125" style="7" customWidth="1"/>
    <col min="11006" max="11006" width="33.5703125" style="7" customWidth="1"/>
    <col min="11007" max="11007" width="11.140625" style="7" customWidth="1"/>
    <col min="11008" max="11257" width="11.42578125" style="7"/>
    <col min="11258" max="11258" width="5.42578125" style="7" customWidth="1"/>
    <col min="11259" max="11259" width="25.42578125" style="7" customWidth="1"/>
    <col min="11260" max="11260" width="9.140625" style="7" customWidth="1"/>
    <col min="11261" max="11261" width="8.42578125" style="7" customWidth="1"/>
    <col min="11262" max="11262" width="33.5703125" style="7" customWidth="1"/>
    <col min="11263" max="11263" width="11.140625" style="7" customWidth="1"/>
    <col min="11264" max="11513" width="11.42578125" style="7"/>
    <col min="11514" max="11514" width="5.42578125" style="7" customWidth="1"/>
    <col min="11515" max="11515" width="25.42578125" style="7" customWidth="1"/>
    <col min="11516" max="11516" width="9.140625" style="7" customWidth="1"/>
    <col min="11517" max="11517" width="8.42578125" style="7" customWidth="1"/>
    <col min="11518" max="11518" width="33.5703125" style="7" customWidth="1"/>
    <col min="11519" max="11519" width="11.140625" style="7" customWidth="1"/>
    <col min="11520" max="11769" width="11.42578125" style="7"/>
    <col min="11770" max="11770" width="5.42578125" style="7" customWidth="1"/>
    <col min="11771" max="11771" width="25.42578125" style="7" customWidth="1"/>
    <col min="11772" max="11772" width="9.140625" style="7" customWidth="1"/>
    <col min="11773" max="11773" width="8.42578125" style="7" customWidth="1"/>
    <col min="11774" max="11774" width="33.5703125" style="7" customWidth="1"/>
    <col min="11775" max="11775" width="11.140625" style="7" customWidth="1"/>
    <col min="11776" max="12025" width="11.42578125" style="7"/>
    <col min="12026" max="12026" width="5.42578125" style="7" customWidth="1"/>
    <col min="12027" max="12027" width="25.42578125" style="7" customWidth="1"/>
    <col min="12028" max="12028" width="9.140625" style="7" customWidth="1"/>
    <col min="12029" max="12029" width="8.42578125" style="7" customWidth="1"/>
    <col min="12030" max="12030" width="33.5703125" style="7" customWidth="1"/>
    <col min="12031" max="12031" width="11.140625" style="7" customWidth="1"/>
    <col min="12032" max="12281" width="11.42578125" style="7"/>
    <col min="12282" max="12282" width="5.42578125" style="7" customWidth="1"/>
    <col min="12283" max="12283" width="25.42578125" style="7" customWidth="1"/>
    <col min="12284" max="12284" width="9.140625" style="7" customWidth="1"/>
    <col min="12285" max="12285" width="8.42578125" style="7" customWidth="1"/>
    <col min="12286" max="12286" width="33.5703125" style="7" customWidth="1"/>
    <col min="12287" max="12287" width="11.140625" style="7" customWidth="1"/>
    <col min="12288" max="12537" width="11.42578125" style="7"/>
    <col min="12538" max="12538" width="5.42578125" style="7" customWidth="1"/>
    <col min="12539" max="12539" width="25.42578125" style="7" customWidth="1"/>
    <col min="12540" max="12540" width="9.140625" style="7" customWidth="1"/>
    <col min="12541" max="12541" width="8.42578125" style="7" customWidth="1"/>
    <col min="12542" max="12542" width="33.5703125" style="7" customWidth="1"/>
    <col min="12543" max="12543" width="11.140625" style="7" customWidth="1"/>
    <col min="12544" max="12793" width="11.42578125" style="7"/>
    <col min="12794" max="12794" width="5.42578125" style="7" customWidth="1"/>
    <col min="12795" max="12795" width="25.42578125" style="7" customWidth="1"/>
    <col min="12796" max="12796" width="9.140625" style="7" customWidth="1"/>
    <col min="12797" max="12797" width="8.42578125" style="7" customWidth="1"/>
    <col min="12798" max="12798" width="33.5703125" style="7" customWidth="1"/>
    <col min="12799" max="12799" width="11.140625" style="7" customWidth="1"/>
    <col min="12800" max="13049" width="11.42578125" style="7"/>
    <col min="13050" max="13050" width="5.42578125" style="7" customWidth="1"/>
    <col min="13051" max="13051" width="25.42578125" style="7" customWidth="1"/>
    <col min="13052" max="13052" width="9.140625" style="7" customWidth="1"/>
    <col min="13053" max="13053" width="8.42578125" style="7" customWidth="1"/>
    <col min="13054" max="13054" width="33.5703125" style="7" customWidth="1"/>
    <col min="13055" max="13055" width="11.140625" style="7" customWidth="1"/>
    <col min="13056" max="13305" width="11.42578125" style="7"/>
    <col min="13306" max="13306" width="5.42578125" style="7" customWidth="1"/>
    <col min="13307" max="13307" width="25.42578125" style="7" customWidth="1"/>
    <col min="13308" max="13308" width="9.140625" style="7" customWidth="1"/>
    <col min="13309" max="13309" width="8.42578125" style="7" customWidth="1"/>
    <col min="13310" max="13310" width="33.5703125" style="7" customWidth="1"/>
    <col min="13311" max="13311" width="11.140625" style="7" customWidth="1"/>
    <col min="13312" max="13561" width="11.42578125" style="7"/>
    <col min="13562" max="13562" width="5.42578125" style="7" customWidth="1"/>
    <col min="13563" max="13563" width="25.42578125" style="7" customWidth="1"/>
    <col min="13564" max="13564" width="9.140625" style="7" customWidth="1"/>
    <col min="13565" max="13565" width="8.42578125" style="7" customWidth="1"/>
    <col min="13566" max="13566" width="33.5703125" style="7" customWidth="1"/>
    <col min="13567" max="13567" width="11.140625" style="7" customWidth="1"/>
    <col min="13568" max="13817" width="11.42578125" style="7"/>
    <col min="13818" max="13818" width="5.42578125" style="7" customWidth="1"/>
    <col min="13819" max="13819" width="25.42578125" style="7" customWidth="1"/>
    <col min="13820" max="13820" width="9.140625" style="7" customWidth="1"/>
    <col min="13821" max="13821" width="8.42578125" style="7" customWidth="1"/>
    <col min="13822" max="13822" width="33.5703125" style="7" customWidth="1"/>
    <col min="13823" max="13823" width="11.140625" style="7" customWidth="1"/>
    <col min="13824" max="14073" width="11.42578125" style="7"/>
    <col min="14074" max="14074" width="5.42578125" style="7" customWidth="1"/>
    <col min="14075" max="14075" width="25.42578125" style="7" customWidth="1"/>
    <col min="14076" max="14076" width="9.140625" style="7" customWidth="1"/>
    <col min="14077" max="14077" width="8.42578125" style="7" customWidth="1"/>
    <col min="14078" max="14078" width="33.5703125" style="7" customWidth="1"/>
    <col min="14079" max="14079" width="11.140625" style="7" customWidth="1"/>
    <col min="14080" max="14329" width="11.42578125" style="7"/>
    <col min="14330" max="14330" width="5.42578125" style="7" customWidth="1"/>
    <col min="14331" max="14331" width="25.42578125" style="7" customWidth="1"/>
    <col min="14332" max="14332" width="9.140625" style="7" customWidth="1"/>
    <col min="14333" max="14333" width="8.42578125" style="7" customWidth="1"/>
    <col min="14334" max="14334" width="33.5703125" style="7" customWidth="1"/>
    <col min="14335" max="14335" width="11.140625" style="7" customWidth="1"/>
    <col min="14336" max="14585" width="11.42578125" style="7"/>
    <col min="14586" max="14586" width="5.42578125" style="7" customWidth="1"/>
    <col min="14587" max="14587" width="25.42578125" style="7" customWidth="1"/>
    <col min="14588" max="14588" width="9.140625" style="7" customWidth="1"/>
    <col min="14589" max="14589" width="8.42578125" style="7" customWidth="1"/>
    <col min="14590" max="14590" width="33.5703125" style="7" customWidth="1"/>
    <col min="14591" max="14591" width="11.140625" style="7" customWidth="1"/>
    <col min="14592" max="14841" width="11.42578125" style="7"/>
    <col min="14842" max="14842" width="5.42578125" style="7" customWidth="1"/>
    <col min="14843" max="14843" width="25.42578125" style="7" customWidth="1"/>
    <col min="14844" max="14844" width="9.140625" style="7" customWidth="1"/>
    <col min="14845" max="14845" width="8.42578125" style="7" customWidth="1"/>
    <col min="14846" max="14846" width="33.5703125" style="7" customWidth="1"/>
    <col min="14847" max="14847" width="11.140625" style="7" customWidth="1"/>
    <col min="14848" max="15097" width="11.42578125" style="7"/>
    <col min="15098" max="15098" width="5.42578125" style="7" customWidth="1"/>
    <col min="15099" max="15099" width="25.42578125" style="7" customWidth="1"/>
    <col min="15100" max="15100" width="9.140625" style="7" customWidth="1"/>
    <col min="15101" max="15101" width="8.42578125" style="7" customWidth="1"/>
    <col min="15102" max="15102" width="33.5703125" style="7" customWidth="1"/>
    <col min="15103" max="15103" width="11.140625" style="7" customWidth="1"/>
    <col min="15104" max="15353" width="11.42578125" style="7"/>
    <col min="15354" max="15354" width="5.42578125" style="7" customWidth="1"/>
    <col min="15355" max="15355" width="25.42578125" style="7" customWidth="1"/>
    <col min="15356" max="15356" width="9.140625" style="7" customWidth="1"/>
    <col min="15357" max="15357" width="8.42578125" style="7" customWidth="1"/>
    <col min="15358" max="15358" width="33.5703125" style="7" customWidth="1"/>
    <col min="15359" max="15359" width="11.140625" style="7" customWidth="1"/>
    <col min="15360" max="15609" width="11.42578125" style="7"/>
    <col min="15610" max="15610" width="5.42578125" style="7" customWidth="1"/>
    <col min="15611" max="15611" width="25.42578125" style="7" customWidth="1"/>
    <col min="15612" max="15612" width="9.140625" style="7" customWidth="1"/>
    <col min="15613" max="15613" width="8.42578125" style="7" customWidth="1"/>
    <col min="15614" max="15614" width="33.5703125" style="7" customWidth="1"/>
    <col min="15615" max="15615" width="11.140625" style="7" customWidth="1"/>
    <col min="15616" max="15865" width="11.42578125" style="7"/>
    <col min="15866" max="15866" width="5.42578125" style="7" customWidth="1"/>
    <col min="15867" max="15867" width="25.42578125" style="7" customWidth="1"/>
    <col min="15868" max="15868" width="9.140625" style="7" customWidth="1"/>
    <col min="15869" max="15869" width="8.42578125" style="7" customWidth="1"/>
    <col min="15870" max="15870" width="33.5703125" style="7" customWidth="1"/>
    <col min="15871" max="15871" width="11.140625" style="7" customWidth="1"/>
    <col min="15872" max="16121" width="11.42578125" style="7"/>
    <col min="16122" max="16122" width="5.42578125" style="7" customWidth="1"/>
    <col min="16123" max="16123" width="25.42578125" style="7" customWidth="1"/>
    <col min="16124" max="16124" width="9.140625" style="7" customWidth="1"/>
    <col min="16125" max="16125" width="8.42578125" style="7" customWidth="1"/>
    <col min="16126" max="16126" width="33.5703125" style="7" customWidth="1"/>
    <col min="16127" max="16127" width="11.140625" style="7" customWidth="1"/>
    <col min="16128" max="16384" width="11.42578125" style="7"/>
  </cols>
  <sheetData>
    <row r="1" spans="1:7" ht="15" customHeight="1"/>
    <row r="2" spans="1:7" ht="15" customHeight="1"/>
    <row r="3" spans="1:7" ht="15" customHeight="1"/>
    <row r="4" spans="1:7" s="15" customFormat="1" ht="15" customHeight="1">
      <c r="A4" s="14"/>
    </row>
    <row r="5" spans="1:7" ht="15" customHeight="1">
      <c r="A5" s="52" t="s">
        <v>325</v>
      </c>
      <c r="B5" s="53"/>
      <c r="C5" s="53"/>
      <c r="D5" s="53"/>
      <c r="E5" s="53"/>
      <c r="F5" s="53"/>
      <c r="G5" s="53"/>
    </row>
    <row r="6" spans="1:7" ht="7.5" customHeight="1">
      <c r="A6" s="4"/>
      <c r="B6" s="4"/>
      <c r="C6" s="4"/>
      <c r="D6" s="4"/>
      <c r="E6" s="4"/>
      <c r="F6" s="4"/>
      <c r="G6" s="4"/>
    </row>
    <row r="7" spans="1:7" ht="19.5" customHeight="1">
      <c r="A7" s="19" t="s">
        <v>33</v>
      </c>
      <c r="B7" s="19" t="s">
        <v>34</v>
      </c>
      <c r="C7" s="19">
        <v>2018</v>
      </c>
      <c r="D7" s="19">
        <v>2019</v>
      </c>
      <c r="E7" s="19">
        <v>2020</v>
      </c>
      <c r="F7" s="19">
        <v>2021</v>
      </c>
      <c r="G7" s="19">
        <v>2022</v>
      </c>
    </row>
    <row r="8" spans="1:7" ht="4.5" customHeight="1">
      <c r="A8" s="4"/>
      <c r="B8" s="4"/>
      <c r="C8" s="4"/>
      <c r="D8" s="4"/>
      <c r="E8" s="4"/>
      <c r="F8" s="4"/>
      <c r="G8" s="4"/>
    </row>
    <row r="9" spans="1:7" ht="15" customHeight="1">
      <c r="A9" s="57" t="s">
        <v>46</v>
      </c>
      <c r="B9" s="55"/>
      <c r="C9" s="55"/>
      <c r="D9" s="55"/>
      <c r="E9" s="55"/>
      <c r="F9" s="55"/>
      <c r="G9" s="55"/>
    </row>
    <row r="10" spans="1:7" ht="30" customHeight="1">
      <c r="A10" s="88">
        <v>1</v>
      </c>
      <c r="B10" s="59" t="s">
        <v>99</v>
      </c>
      <c r="C10" s="93">
        <f>cobertura!B8</f>
        <v>3.8587193062876439</v>
      </c>
      <c r="D10" s="93">
        <f>cobertura!$B9</f>
        <v>3.9511727674392016</v>
      </c>
      <c r="E10" s="93">
        <f>cobertura!$B10</f>
        <v>4.0736959630258669</v>
      </c>
      <c r="F10" s="93">
        <f>cobertura!$B11</f>
        <v>4.0729883835106735</v>
      </c>
      <c r="G10" s="93">
        <f>cobertura!$B12</f>
        <v>4.29170870344094</v>
      </c>
    </row>
    <row r="11" spans="1:7" ht="30" customHeight="1">
      <c r="A11" s="89">
        <v>2</v>
      </c>
      <c r="B11" s="62" t="s">
        <v>100</v>
      </c>
      <c r="C11" s="343">
        <f>demanda!B8</f>
        <v>81.04278601558201</v>
      </c>
      <c r="D11" s="343">
        <f>demanda!$B9</f>
        <v>85.679834554313146</v>
      </c>
      <c r="E11" s="344">
        <f>demanda!$B10</f>
        <v>86.388435835630673</v>
      </c>
      <c r="F11" s="344">
        <f>demanda!$B11</f>
        <v>88.471603313694416</v>
      </c>
      <c r="G11" s="344">
        <f>demanda!$B12</f>
        <v>86.481377068753943</v>
      </c>
    </row>
    <row r="12" spans="1:7" ht="30" customHeight="1">
      <c r="A12" s="202">
        <v>3</v>
      </c>
      <c r="B12" s="203" t="s">
        <v>96</v>
      </c>
      <c r="C12" s="345">
        <f>absorcion!B8</f>
        <v>5.7563120080126753</v>
      </c>
      <c r="D12" s="345">
        <f>absorcion!$B9</f>
        <v>6.2618384857804967</v>
      </c>
      <c r="E12" s="346">
        <f>absorcion!$B10</f>
        <v>6.1427280475920947</v>
      </c>
      <c r="F12" s="346">
        <f>absorcion!$B11</f>
        <v>5.8313559384679063</v>
      </c>
      <c r="G12" s="346">
        <f>absorcion!$B12</f>
        <v>6.3773420070076163</v>
      </c>
    </row>
    <row r="13" spans="1:7" ht="30" customHeight="1">
      <c r="A13" s="161">
        <v>4</v>
      </c>
      <c r="B13" s="60" t="s">
        <v>98</v>
      </c>
      <c r="C13" s="165">
        <f>matricula!$B$8</f>
        <v>307859</v>
      </c>
      <c r="D13" s="165">
        <f>matricula!$B$9</f>
        <v>306089</v>
      </c>
      <c r="E13" s="166">
        <f>matricula!$B$10</f>
        <v>307031</v>
      </c>
      <c r="F13" s="166">
        <f>matricula!$B$11</f>
        <v>309717</v>
      </c>
      <c r="G13" s="166">
        <f>matricula!$B$12</f>
        <v>321053</v>
      </c>
    </row>
    <row r="14" spans="1:7" ht="30" customHeight="1">
      <c r="A14" s="90">
        <v>5</v>
      </c>
      <c r="B14" s="58" t="s">
        <v>97</v>
      </c>
      <c r="C14" s="104">
        <f>capacidad!$B$8</f>
        <v>73.271848819497336</v>
      </c>
      <c r="D14" s="104">
        <f>capacidad!$B$9</f>
        <v>72.136359351432873</v>
      </c>
      <c r="E14" s="105">
        <f>capacidad!$B$10</f>
        <v>72.358361613876326</v>
      </c>
      <c r="F14" s="105">
        <f>capacidad!$B$11</f>
        <v>73.046462264150946</v>
      </c>
      <c r="G14" s="105">
        <f>capacidad!$B$12</f>
        <v>75.307984612497663</v>
      </c>
    </row>
    <row r="15" spans="1:7" ht="30" customHeight="1">
      <c r="A15" s="89">
        <v>6</v>
      </c>
      <c r="B15" s="61" t="s">
        <v>150</v>
      </c>
      <c r="C15" s="97">
        <f>abandono!$B$8</f>
        <v>16.319880955435263</v>
      </c>
      <c r="D15" s="97">
        <f>abandono!$B$9</f>
        <v>15.580184435082289</v>
      </c>
      <c r="E15" s="98">
        <f>abandono!$B$10</f>
        <v>12.691080045346293</v>
      </c>
      <c r="F15" s="98">
        <f>abandono!$B$11</f>
        <v>14.848337789995147</v>
      </c>
      <c r="G15" s="98">
        <f>abandono!$B$12</f>
        <v>13.953060374470883</v>
      </c>
    </row>
    <row r="16" spans="1:7" ht="30" customHeight="1">
      <c r="A16" s="90">
        <v>7</v>
      </c>
      <c r="B16" s="20" t="s">
        <v>151</v>
      </c>
      <c r="C16" s="104">
        <f>reprobacion!B8</f>
        <v>22.104985306280465</v>
      </c>
      <c r="D16" s="104">
        <f>reprobacion!B9</f>
        <v>19.023028965837586</v>
      </c>
      <c r="E16" s="105">
        <f>reprobacion!B10</f>
        <v>8.7322168197370793</v>
      </c>
      <c r="F16" s="105">
        <f>reprobacion!B11</f>
        <v>16.100551764714325</v>
      </c>
      <c r="G16" s="105">
        <f>reprobacion!B12</f>
        <v>16.964893445326261</v>
      </c>
    </row>
    <row r="17" spans="1:7" ht="30" customHeight="1">
      <c r="A17" s="89">
        <v>8</v>
      </c>
      <c r="B17" s="61" t="s">
        <v>346</v>
      </c>
      <c r="C17" s="97">
        <f>eficienciat!B8</f>
        <v>50.182474621570293</v>
      </c>
      <c r="D17" s="97">
        <f>eficienciat!B9</f>
        <v>53.131455399061032</v>
      </c>
      <c r="E17" s="97">
        <f>eficienciat!B10</f>
        <v>56.755098789037604</v>
      </c>
      <c r="F17" s="97">
        <f>eficienciat!B11</f>
        <v>55.71442939519914</v>
      </c>
      <c r="G17" s="97">
        <f>eficienciat!B12</f>
        <v>56.537498568132349</v>
      </c>
    </row>
    <row r="18" spans="1:7" ht="30" customHeight="1">
      <c r="A18" s="90">
        <v>9</v>
      </c>
      <c r="B18" s="20" t="s">
        <v>230</v>
      </c>
      <c r="C18" s="104">
        <f>titulacion!$B$8</f>
        <v>84.02268009922544</v>
      </c>
      <c r="D18" s="104">
        <f>titulacion!$B$9</f>
        <v>84.709180098107922</v>
      </c>
      <c r="E18" s="105">
        <f>titulacion!$B$10</f>
        <v>83.143353656740587</v>
      </c>
      <c r="F18" s="105">
        <f>titulacion!$B$11</f>
        <v>81.468016114768588</v>
      </c>
      <c r="G18" s="105">
        <f>titulacion!$B$12</f>
        <v>80.885759845954809</v>
      </c>
    </row>
    <row r="19" spans="1:7" ht="30" customHeight="1">
      <c r="A19" s="161">
        <v>10</v>
      </c>
      <c r="B19" s="60" t="s">
        <v>152</v>
      </c>
      <c r="C19" s="165">
        <f>costo!$B$8</f>
        <v>17596.600771310892</v>
      </c>
      <c r="D19" s="165">
        <f>costo!$B$9</f>
        <v>18155.932300017314</v>
      </c>
      <c r="E19" s="166">
        <f>costo!$B$10</f>
        <v>18764.38587228108</v>
      </c>
      <c r="F19" s="166">
        <f>costo!$B$11</f>
        <v>19454.776944934765</v>
      </c>
      <c r="G19" s="166">
        <f>costo!$B$12</f>
        <v>19699.358796076998</v>
      </c>
    </row>
    <row r="20" spans="1:7" s="16" customFormat="1" ht="30" customHeight="1">
      <c r="A20" s="90">
        <v>11</v>
      </c>
      <c r="B20" s="20" t="s">
        <v>35</v>
      </c>
      <c r="C20" s="101">
        <f>adocente!$B$8</f>
        <v>19.570211683936176</v>
      </c>
      <c r="D20" s="101">
        <f>adocente!$B$9</f>
        <v>19.695579435042792</v>
      </c>
      <c r="E20" s="91">
        <f>adocente!$B$10</f>
        <v>19.987696113534277</v>
      </c>
      <c r="F20" s="91">
        <f>adocente!$B$11</f>
        <v>20.419106012658229</v>
      </c>
      <c r="G20" s="91">
        <f>adocente!$B$12</f>
        <v>21.226644628099173</v>
      </c>
    </row>
    <row r="21" spans="1:7" ht="30" customHeight="1">
      <c r="A21" s="161">
        <v>12</v>
      </c>
      <c r="B21" s="60" t="s">
        <v>268</v>
      </c>
      <c r="C21" s="97">
        <f>alupc!$B$8</f>
        <v>9.6625655189730395</v>
      </c>
      <c r="D21" s="97">
        <f>alupc!$B$9</f>
        <v>9.6070117071027283</v>
      </c>
      <c r="E21" s="98">
        <f>alupc!$B$10</f>
        <v>9.6365776340981135</v>
      </c>
      <c r="F21" s="98">
        <f>alupc!$B$11</f>
        <v>9.7208813282696713</v>
      </c>
      <c r="G21" s="98">
        <f>alupc!$B$12</f>
        <v>10.076676814914785</v>
      </c>
    </row>
    <row r="22" spans="1:7" ht="30" customHeight="1">
      <c r="A22" s="90">
        <v>13</v>
      </c>
      <c r="B22" s="20" t="s">
        <v>36</v>
      </c>
      <c r="C22" s="101">
        <f>capacitacion!$B$8</f>
        <v>164018</v>
      </c>
      <c r="D22" s="101">
        <f>capacitacion!$B$9</f>
        <v>149444</v>
      </c>
      <c r="E22" s="91">
        <f>capacitacion!$B$10</f>
        <v>84543</v>
      </c>
      <c r="F22" s="91">
        <f>capacitacion!$B$11</f>
        <v>119725</v>
      </c>
      <c r="G22" s="91">
        <f>capacitacion!$B$12</f>
        <v>148628</v>
      </c>
    </row>
    <row r="23" spans="1:7" ht="30" customHeight="1">
      <c r="A23" s="161">
        <v>14</v>
      </c>
      <c r="B23" s="60" t="s">
        <v>38</v>
      </c>
      <c r="C23" s="165">
        <f>servtec!$B$8</f>
        <v>20186</v>
      </c>
      <c r="D23" s="165">
        <f>servtec!$B$9</f>
        <v>17392</v>
      </c>
      <c r="E23" s="166">
        <f>servtec!$B$10</f>
        <v>6838</v>
      </c>
      <c r="F23" s="166">
        <f>servtec!$B$11</f>
        <v>9685</v>
      </c>
      <c r="G23" s="166">
        <f>servtec!$B$12</f>
        <v>11282</v>
      </c>
    </row>
    <row r="24" spans="1:7" ht="30" customHeight="1">
      <c r="A24" s="90">
        <v>15</v>
      </c>
      <c r="B24" s="20" t="s">
        <v>345</v>
      </c>
      <c r="C24" s="101">
        <f>evaluacion!B9</f>
        <v>217109</v>
      </c>
      <c r="D24" s="101">
        <f>evaluacion!B10</f>
        <v>235963</v>
      </c>
      <c r="E24" s="91">
        <f>evaluacion!B11</f>
        <v>114862</v>
      </c>
      <c r="F24" s="91">
        <f>evaluacion!B12</f>
        <v>117603</v>
      </c>
      <c r="G24" s="91">
        <f>evaluacion!B13</f>
        <v>100911</v>
      </c>
    </row>
    <row r="25" spans="1:7" ht="30" customHeight="1">
      <c r="A25" s="89">
        <v>16</v>
      </c>
      <c r="B25" s="61" t="s">
        <v>44</v>
      </c>
      <c r="C25" s="165">
        <f>certificacion!$B$9</f>
        <v>163434</v>
      </c>
      <c r="D25" s="165">
        <f>certificacion!$B$10</f>
        <v>174827</v>
      </c>
      <c r="E25" s="166">
        <f>certificacion!$B$11</f>
        <v>88578</v>
      </c>
      <c r="F25" s="166">
        <f>certificacion!$B$12</f>
        <v>92502</v>
      </c>
      <c r="G25" s="166">
        <f>certificacion!$B$13</f>
        <v>78858</v>
      </c>
    </row>
    <row r="26" spans="1:7" ht="30" customHeight="1">
      <c r="A26" s="162">
        <v>17</v>
      </c>
      <c r="B26" s="295" t="s">
        <v>153</v>
      </c>
      <c r="C26" s="104">
        <f>bexterno!$B$8</f>
        <v>3.9060089196677703</v>
      </c>
      <c r="D26" s="105">
        <f>bexterno!$B$9</f>
        <v>3.8387527810538766</v>
      </c>
      <c r="E26" s="105">
        <f>bexterno!$B$10</f>
        <v>0.4162446137360723</v>
      </c>
      <c r="F26" s="105">
        <f>bexterno!$B$11</f>
        <v>1.9934327143811932</v>
      </c>
      <c r="G26" s="105">
        <f>bexterno!$B$12</f>
        <v>3.0219309584398837</v>
      </c>
    </row>
    <row r="27" spans="1:7" ht="30" customHeight="1">
      <c r="A27" s="297">
        <v>18</v>
      </c>
      <c r="B27" s="296" t="s">
        <v>348</v>
      </c>
      <c r="C27" s="97"/>
      <c r="D27" s="97"/>
      <c r="E27" s="98"/>
      <c r="F27" s="98">
        <f>ecolocados!B8</f>
        <v>85.70811744386873</v>
      </c>
      <c r="G27" s="98">
        <f>ecolocados!B9</f>
        <v>77.453546192096312</v>
      </c>
    </row>
    <row r="28" spans="1:7" ht="8.25" customHeight="1">
      <c r="A28" s="21"/>
      <c r="B28" s="22"/>
      <c r="C28" s="23"/>
      <c r="D28" s="24"/>
      <c r="E28" s="25"/>
      <c r="F28" s="25"/>
      <c r="G28" s="25"/>
    </row>
    <row r="29" spans="1:7" ht="15" customHeight="1">
      <c r="A29" s="99" t="s">
        <v>142</v>
      </c>
      <c r="B29" s="100"/>
      <c r="C29" s="100"/>
      <c r="D29" s="100"/>
      <c r="E29" s="100"/>
      <c r="F29" s="100"/>
      <c r="G29" s="100"/>
    </row>
    <row r="30" spans="1:7" ht="30" customHeight="1">
      <c r="A30" s="26">
        <v>19</v>
      </c>
      <c r="B30" s="27" t="s">
        <v>277</v>
      </c>
      <c r="C30" s="104">
        <f>GETPIVOTDATA("Costo docente (%)",cd!$A$8,"entidad","Oficinas Nacionales","Año",2018)</f>
        <v>23.30325947810552</v>
      </c>
      <c r="D30" s="104">
        <f>GETPIVOTDATA("Costo docente (%)",cd!$A$8,"entidad","Oficinas Nacionales","Año",2019)</f>
        <v>25.46389960287258</v>
      </c>
      <c r="E30" s="104">
        <f>GETPIVOTDATA("Costo docente (%)",cd!$A$8,"entidad","Oficinas Nacionales","Año",2020)</f>
        <v>28.116936647080898</v>
      </c>
      <c r="F30" s="104">
        <f>GETPIVOTDATA("Costo docente (%)",cd!$A$8,"entidad","Oficinas Nacionales","Año",2021)</f>
        <v>29.367964160611969</v>
      </c>
      <c r="G30" s="104">
        <f>GETPIVOTDATA("Costo docente (%)",cd!$A$8,"entidad","Oficinas Nacionales","Año",2022)</f>
        <v>29.387516470292141</v>
      </c>
    </row>
    <row r="31" spans="1:7" ht="30" customHeight="1">
      <c r="A31" s="205">
        <v>20</v>
      </c>
      <c r="B31" s="206" t="s">
        <v>143</v>
      </c>
      <c r="C31" s="97">
        <f>GETPIVOTDATA("Evolución del Presupuesto Reprogramado Total",eprt!$A$8,"entidad","Oficinas Nacionales","Año",2018)</f>
        <v>99.704010823880751</v>
      </c>
      <c r="D31" s="97">
        <f>GETPIVOTDATA("Evolución del Presupuesto Reprogramado Total",eprt!$A$8,"entidad","Oficinas Nacionales","Año",2019)</f>
        <v>99.919831450599645</v>
      </c>
      <c r="E31" s="97">
        <f>GETPIVOTDATA("Evolución del Presupuesto Reprogramado Total",eprt!$A$8,"entidad","Oficinas Nacionales","Año",2020)</f>
        <v>97.571796586098685</v>
      </c>
      <c r="F31" s="97">
        <f>GETPIVOTDATA("Evolución del Presupuesto Reprogramado Total",eprt!$A$8,"entidad","Oficinas Nacionales","Año",2021)</f>
        <v>99.239411785309954</v>
      </c>
      <c r="G31" s="97">
        <f>GETPIVOTDATA("Evolución del Presupuesto Reprogramado Total",eprt!$A$8,"entidad","Oficinas Nacionales","Año",2022)</f>
        <v>99.480323857743258</v>
      </c>
    </row>
    <row r="32" spans="1:7" ht="30" customHeight="1">
      <c r="A32" s="26">
        <v>21</v>
      </c>
      <c r="B32" s="27" t="s">
        <v>144</v>
      </c>
      <c r="C32" s="104">
        <f>GETPIVOTDATA("Evolución del Presupuesto Reprogramado
(Recursos fiscales)",epr!$A$8,"entidad","Oficinas Nacionales","Año",2018)</f>
        <v>100</v>
      </c>
      <c r="D32" s="104">
        <f>GETPIVOTDATA("Evolución del Presupuesto Reprogramado
(Recursos fiscales)",epr!$A$8,"entidad","Oficinas Nacionales","Año",2019)</f>
        <v>100</v>
      </c>
      <c r="E32" s="104">
        <f>GETPIVOTDATA("Evolución del Presupuesto Reprogramado
(Recursos fiscales)",epr!$A$8,"entidad","Oficinas Nacionales","Año",2020)</f>
        <v>100</v>
      </c>
      <c r="F32" s="104">
        <f>GETPIVOTDATA("Evolución del Presupuesto Reprogramado
(Recursos fiscales)",epr!$A$8,"entidad","Oficinas Nacionales","Año",2021)</f>
        <v>100</v>
      </c>
      <c r="G32" s="104">
        <f>GETPIVOTDATA("Evolución del Presupuesto Reprogramado
(Recursos fiscales)",epr!$A$8,"entidad","Oficinas Nacionales","Año",2022)</f>
        <v>100</v>
      </c>
    </row>
    <row r="33" spans="1:8" ht="30" customHeight="1">
      <c r="A33" s="205">
        <v>22</v>
      </c>
      <c r="B33" s="206" t="s">
        <v>145</v>
      </c>
      <c r="C33" s="97">
        <f>GETPIVOTDATA("Evolución del Gasto Corriente ",egc!$A$8,"entidad","Oficinas Nacionales","Año",2018)</f>
        <v>99.70333752450091</v>
      </c>
      <c r="D33" s="97">
        <f>GETPIVOTDATA("Evolución del Gasto Corriente ",egc!$A$8,"entidad","Oficinas Nacionales","Año",2019)</f>
        <v>99.919819021338853</v>
      </c>
      <c r="E33" s="97">
        <f>GETPIVOTDATA("Evolución del Gasto Corriente ",egc!$A$8,"entidad","Oficinas Nacionales","Año",2020)</f>
        <v>97.571796586098685</v>
      </c>
      <c r="F33" s="97">
        <f>GETPIVOTDATA("Evolución del Gasto Corriente ",egc!$A$8,"entidad","Oficinas Nacionales","Año",2021)</f>
        <v>99.239411785309954</v>
      </c>
      <c r="G33" s="97">
        <f>GETPIVOTDATA("Evolución del Gasto Corriente ",egc!$A$8,"entidad","Oficinas Nacionales","Año",2022)</f>
        <v>99.480323857743258</v>
      </c>
    </row>
    <row r="34" spans="1:8" ht="30" customHeight="1">
      <c r="A34" s="26">
        <v>23</v>
      </c>
      <c r="B34" s="27" t="s">
        <v>146</v>
      </c>
      <c r="C34" s="104">
        <f>GETPIVOTDATA("Evolución del Gasto de Inversión",egi!$A$8,"entidad","Oficinas Nacionales","Año",2018)</f>
        <v>100</v>
      </c>
      <c r="D34" s="104">
        <f>GETPIVOTDATA("Evolución del Gasto de Inversión",egi!$A$8,"entidad","Oficinas Nacionales","Año",2019)</f>
        <v>100</v>
      </c>
      <c r="E34" s="104">
        <f>GETPIVOTDATA("Evolución del Gasto de Inversión",egi!$A$8,"entidad","Oficinas Nacionales","Año",2020)</f>
        <v>0</v>
      </c>
      <c r="F34" s="104">
        <f>GETPIVOTDATA("Evolución del Gasto de Inversión",egi!$A$8,"entidad","Oficinas Nacionales","Año",2021)</f>
        <v>0</v>
      </c>
      <c r="G34" s="104">
        <f>GETPIVOTDATA("Evolución del Gasto de Inversión",egi!$A$8,"entidad","Oficinas Nacionales","Año",2022)</f>
        <v>0</v>
      </c>
    </row>
    <row r="35" spans="1:8" ht="30" customHeight="1">
      <c r="A35" s="205">
        <v>24</v>
      </c>
      <c r="B35" s="206" t="s">
        <v>147</v>
      </c>
      <c r="C35" s="97">
        <f>GETPIVOTDATA("Índice de Autofinancimiento",auto!$A$8,"entidad","Oficinas Nacionales","Año",2018)</f>
        <v>3.1875059663788745</v>
      </c>
      <c r="D35" s="97">
        <f>GETPIVOTDATA("Índice de Autofinancimiento",auto!$A$8,"entidad","Oficinas Nacionales","Año",2019)</f>
        <v>3.1432251656094139</v>
      </c>
      <c r="E35" s="97">
        <f>GETPIVOTDATA("Índice de Autofinancimiento",auto!$A$8,"entidad","Oficinas Nacionales","Año",2020)</f>
        <v>2.360004487569197</v>
      </c>
      <c r="F35" s="97">
        <f>GETPIVOTDATA("Índice de Autofinancimiento",auto!$A$8,"entidad","Oficinas Nacionales","Año",2021)</f>
        <v>1.7372011234154847</v>
      </c>
      <c r="G35" s="97">
        <f>GETPIVOTDATA("Índice de Autofinancimiento",auto!$A$8,"entidad","Oficinas Nacionales","Año",2022)</f>
        <v>2.0996674884455921</v>
      </c>
    </row>
    <row r="36" spans="1:8" ht="30" customHeight="1">
      <c r="A36" s="26">
        <v>25</v>
      </c>
      <c r="B36" s="27" t="s">
        <v>148</v>
      </c>
      <c r="C36" s="104">
        <f>GETPIVOTDATA("Captación de Ingresos Propios",capip!$A$8,"entidad","Oficinas Nacionales","Año",2018)</f>
        <v>91.942881818181817</v>
      </c>
      <c r="D36" s="104">
        <f>GETPIVOTDATA("Captación de Ingresos Propios",capip!$A$8,"entidad","Oficinas Nacionales","Año",2019)</f>
        <v>97.607890613653382</v>
      </c>
      <c r="E36" s="104">
        <f>GETPIVOTDATA("Captación de Ingresos Propios",capip!$A$8,"entidad","Oficinas Nacionales","Año",2020)</f>
        <v>83.475212499999998</v>
      </c>
      <c r="F36" s="104">
        <f>GETPIVOTDATA("Captación de Ingresos Propios",capip!$A$8,"entidad","Oficinas Nacionales","Año",2021)</f>
        <v>69.170142499999997</v>
      </c>
      <c r="G36" s="104">
        <f>GETPIVOTDATA("Captación de Ingresos Propios",capip!$A$8,"entidad","Oficinas Nacionales","Año",2022)</f>
        <v>87.786593333333329</v>
      </c>
    </row>
    <row r="37" spans="1:8" ht="18">
      <c r="A37" s="133"/>
      <c r="B37" s="18"/>
      <c r="C37" s="17"/>
      <c r="D37" s="17"/>
      <c r="E37" s="17"/>
      <c r="F37" s="17"/>
      <c r="G37" s="17"/>
    </row>
    <row r="38" spans="1:8" ht="12.75" customHeight="1">
      <c r="A38" s="362"/>
      <c r="B38" s="362"/>
      <c r="C38" s="362"/>
      <c r="D38" s="362"/>
      <c r="E38" s="362"/>
      <c r="F38" s="362"/>
      <c r="G38" s="362"/>
    </row>
    <row r="39" spans="1:8" s="277" customFormat="1" ht="26.45" customHeight="1">
      <c r="A39" s="363" t="s">
        <v>308</v>
      </c>
      <c r="B39" s="363"/>
      <c r="C39" s="363"/>
      <c r="D39" s="363"/>
      <c r="E39" s="278"/>
      <c r="F39" s="363" t="s">
        <v>311</v>
      </c>
      <c r="G39" s="363"/>
      <c r="H39" s="276"/>
    </row>
    <row r="40" spans="1:8">
      <c r="A40" s="269"/>
      <c r="B40" s="271"/>
      <c r="C40" s="271"/>
      <c r="D40" s="271"/>
      <c r="E40" s="271"/>
      <c r="F40" s="271"/>
      <c r="G40" s="271"/>
      <c r="H40" s="269"/>
    </row>
    <row r="41" spans="1:8">
      <c r="A41" s="269"/>
      <c r="B41" s="271"/>
      <c r="C41" s="271"/>
      <c r="D41" s="271"/>
      <c r="E41" s="271"/>
      <c r="F41" s="271"/>
      <c r="G41" s="271"/>
      <c r="H41" s="269"/>
    </row>
    <row r="42" spans="1:8" s="277" customFormat="1" ht="13.5">
      <c r="A42" s="363" t="s">
        <v>343</v>
      </c>
      <c r="B42" s="363"/>
      <c r="C42" s="363"/>
      <c r="D42" s="363"/>
      <c r="E42" s="363" t="s">
        <v>309</v>
      </c>
      <c r="F42" s="363"/>
      <c r="G42" s="363"/>
      <c r="H42" s="276"/>
    </row>
    <row r="43" spans="1:8" s="277" customFormat="1" ht="29.25" customHeight="1">
      <c r="A43" s="363" t="s">
        <v>310</v>
      </c>
      <c r="B43" s="363"/>
      <c r="C43" s="363"/>
      <c r="D43" s="363"/>
      <c r="E43" s="364" t="s">
        <v>344</v>
      </c>
      <c r="F43" s="364"/>
      <c r="G43" s="364"/>
      <c r="H43" s="276"/>
    </row>
    <row r="44" spans="1:8">
      <c r="A44" s="269"/>
      <c r="B44" s="270"/>
      <c r="C44" s="270"/>
      <c r="D44" s="271"/>
      <c r="E44" s="271"/>
      <c r="F44" s="271"/>
      <c r="G44" s="270"/>
      <c r="H44" s="269"/>
    </row>
    <row r="45" spans="1:8">
      <c r="A45" s="269"/>
      <c r="B45" s="269"/>
      <c r="C45" s="269"/>
      <c r="D45" s="269"/>
      <c r="E45" s="269"/>
      <c r="F45" s="269"/>
      <c r="G45" s="269"/>
      <c r="H45" s="269"/>
    </row>
  </sheetData>
  <mergeCells count="7">
    <mergeCell ref="A38:G38"/>
    <mergeCell ref="A39:D39"/>
    <mergeCell ref="A42:D42"/>
    <mergeCell ref="A43:D43"/>
    <mergeCell ref="F39:G39"/>
    <mergeCell ref="E42:G42"/>
    <mergeCell ref="E43:G43"/>
  </mergeCells>
  <printOptions horizontalCentered="1"/>
  <pageMargins left="0.31496062992125984" right="0.31496062992125984" top="0.55118110236220474" bottom="0.55118110236220474" header="0.31496062992125984" footer="0.31496062992125984"/>
  <pageSetup paperSize="122" orientation="portrait" r:id="rId1"/>
  <rowBreaks count="1" manualBreakCount="1">
    <brk id="28"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7A06F2E741BD47BB792ED8F24B0BB8" ma:contentTypeVersion="15" ma:contentTypeDescription="Create a new document." ma:contentTypeScope="" ma:versionID="1271912d039160dc30772bec025a483a">
  <xsd:schema xmlns:xsd="http://www.w3.org/2001/XMLSchema" xmlns:xs="http://www.w3.org/2001/XMLSchema" xmlns:p="http://schemas.microsoft.com/office/2006/metadata/properties" xmlns:ns3="d46a8e53-7b63-4ece-beb4-bb676a6b902b" xmlns:ns4="9bd976f3-4949-44a3-8639-97f61bc76e13" targetNamespace="http://schemas.microsoft.com/office/2006/metadata/properties" ma:root="true" ma:fieldsID="75493c7ebbbe1fc1c5a0d38eb83f5a28" ns3:_="" ns4:_="">
    <xsd:import namespace="d46a8e53-7b63-4ece-beb4-bb676a6b902b"/>
    <xsd:import namespace="9bd976f3-4949-44a3-8639-97f61bc76e1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a8e53-7b63-4ece-beb4-bb676a6b90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d976f3-4949-44a3-8639-97f61bc76e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d46a8e53-7b63-4ece-beb4-bb676a6b902b" xsi:nil="true"/>
  </documentManagement>
</p:properties>
</file>

<file path=customXml/itemProps1.xml><?xml version="1.0" encoding="utf-8"?>
<ds:datastoreItem xmlns:ds="http://schemas.openxmlformats.org/officeDocument/2006/customXml" ds:itemID="{0A5E9A9B-30E8-4C9F-93EA-276F669C36ED}">
  <ds:schemaRefs>
    <ds:schemaRef ds:uri="http://schemas.microsoft.com/sharepoint/v3/contenttype/forms"/>
  </ds:schemaRefs>
</ds:datastoreItem>
</file>

<file path=customXml/itemProps2.xml><?xml version="1.0" encoding="utf-8"?>
<ds:datastoreItem xmlns:ds="http://schemas.openxmlformats.org/officeDocument/2006/customXml" ds:itemID="{2854ADCC-B5C4-487E-9774-049DA31A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a8e53-7b63-4ece-beb4-bb676a6b902b"/>
    <ds:schemaRef ds:uri="9bd976f3-4949-44a3-8639-97f61bc76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A2FCC-88CC-4DE0-B950-0061164AC630}">
  <ds:schemaRefs>
    <ds:schemaRef ds:uri="9bd976f3-4949-44a3-8639-97f61bc76e13"/>
    <ds:schemaRef ds:uri="d46a8e53-7b63-4ece-beb4-bb676a6b902b"/>
    <ds:schemaRef ds:uri="http://www.w3.org/XML/1998/namespace"/>
    <ds:schemaRef ds:uri="http://schemas.openxmlformats.org/package/2006/metadata/core-properties"/>
    <ds:schemaRef ds:uri="http://purl.org/dc/elements/1.1/"/>
    <ds:schemaRef ds:uri="http://schemas.microsoft.com/office/infopath/2007/PartnerControls"/>
    <ds:schemaRef ds:uri="http://purl.org/dc/dcmitype/"/>
    <ds:schemaRef ds:uri="http://schemas.microsoft.com/office/2006/documentManagement/typ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32</vt:i4>
      </vt:variant>
    </vt:vector>
  </HeadingPairs>
  <TitlesOfParts>
    <vt:vector size="72" baseType="lpstr">
      <vt:lpstr>todosindicadores</vt:lpstr>
      <vt:lpstr>ranking</vt:lpstr>
      <vt:lpstr>reporte_personalizado</vt:lpstr>
      <vt:lpstr>Consulta_Estado</vt:lpstr>
      <vt:lpstr>base_consulta_estado</vt:lpstr>
      <vt:lpstr>Resumen_general_nuevo</vt:lpstr>
      <vt:lpstr>absolutos_nuevo_resumen</vt:lpstr>
      <vt:lpstr>Resumen_primer_año</vt:lpstr>
      <vt:lpstr>Resumen_general</vt:lpstr>
      <vt:lpstr>Informe_HJD_2020</vt:lpstr>
      <vt:lpstr>cobertura</vt:lpstr>
      <vt:lpstr>demanda</vt:lpstr>
      <vt:lpstr>absorcion</vt:lpstr>
      <vt:lpstr>matricula</vt:lpstr>
      <vt:lpstr>capacidad</vt:lpstr>
      <vt:lpstr>abandono</vt:lpstr>
      <vt:lpstr>reprobacion</vt:lpstr>
      <vt:lpstr>eficienciat</vt:lpstr>
      <vt:lpstr>tasaegreso</vt:lpstr>
      <vt:lpstr>titulacion</vt:lpstr>
      <vt:lpstr>costo</vt:lpstr>
      <vt:lpstr>adocente</vt:lpstr>
      <vt:lpstr>becas</vt:lpstr>
      <vt:lpstr>alupc</vt:lpstr>
      <vt:lpstr>admpc</vt:lpstr>
      <vt:lpstr>capacitacion</vt:lpstr>
      <vt:lpstr>servtec</vt:lpstr>
      <vt:lpstr>evaluacion</vt:lpstr>
      <vt:lpstr>certificacion</vt:lpstr>
      <vt:lpstr>ecolocados</vt:lpstr>
      <vt:lpstr>bexterno</vt:lpstr>
      <vt:lpstr>cd</vt:lpstr>
      <vt:lpstr>eprt</vt:lpstr>
      <vt:lpstr>epr</vt:lpstr>
      <vt:lpstr>egc</vt:lpstr>
      <vt:lpstr>egi</vt:lpstr>
      <vt:lpstr>auto</vt:lpstr>
      <vt:lpstr>capip</vt:lpstr>
      <vt:lpstr>PCSINEMS</vt:lpstr>
      <vt:lpstr>base_general</vt:lpstr>
      <vt:lpstr>abandono!Área_de_impresión</vt:lpstr>
      <vt:lpstr>costo!Área_de_impresión</vt:lpstr>
      <vt:lpstr>demanda!Área_de_impresión</vt:lpstr>
      <vt:lpstr>eficienciat!Área_de_impresión</vt:lpstr>
      <vt:lpstr>reprobacion!Área_de_impresión</vt:lpstr>
      <vt:lpstr>titulacion!Área_de_impresión</vt:lpstr>
      <vt:lpstr>abandono!Print_Area</vt:lpstr>
      <vt:lpstr>absorcion!Print_Area</vt:lpstr>
      <vt:lpstr>adocente!Print_Area</vt:lpstr>
      <vt:lpstr>alupc!Print_Area</vt:lpstr>
      <vt:lpstr>bexterno!Print_Area</vt:lpstr>
      <vt:lpstr>capacidad!Print_Area</vt:lpstr>
      <vt:lpstr>certificacion!Print_Area</vt:lpstr>
      <vt:lpstr>cobertura!Print_Area</vt:lpstr>
      <vt:lpstr>Consulta_Estado!Print_Area</vt:lpstr>
      <vt:lpstr>costo!Print_Area</vt:lpstr>
      <vt:lpstr>demanda!Print_Area</vt:lpstr>
      <vt:lpstr>ecolocados!Print_Area</vt:lpstr>
      <vt:lpstr>eficienciat!Print_Area</vt:lpstr>
      <vt:lpstr>epr!Print_Area</vt:lpstr>
      <vt:lpstr>evaluacion!Print_Area</vt:lpstr>
      <vt:lpstr>matricula!Print_Area</vt:lpstr>
      <vt:lpstr>reprobacion!Print_Area</vt:lpstr>
      <vt:lpstr>Resumen_general!Print_Area</vt:lpstr>
      <vt:lpstr>servtec!Print_Area</vt:lpstr>
      <vt:lpstr>tasaegreso!Print_Area</vt:lpstr>
      <vt:lpstr>titulacion!Print_Area</vt:lpstr>
      <vt:lpstr>Consulta_Estado!Print_Titles</vt:lpstr>
      <vt:lpstr>Informe_HJD_2020!Print_Titles</vt:lpstr>
      <vt:lpstr>Resumen_general!Print_Titles</vt:lpstr>
      <vt:lpstr>Resumen_general_nuevo!Print_Titles</vt:lpstr>
      <vt:lpstr>Resumen_primer_año!Print_Titles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gsigala@conalep.edu.mx</dc:creator>
  <cp:keywords>Indicadores</cp:keywords>
  <cp:lastModifiedBy>Conalep</cp:lastModifiedBy>
  <cp:lastPrinted>2023-02-08T19:47:37Z</cp:lastPrinted>
  <dcterms:created xsi:type="dcterms:W3CDTF">2017-01-16T18:22:59Z</dcterms:created>
  <dcterms:modified xsi:type="dcterms:W3CDTF">2023-02-21T16:46:54Z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0x010100157A06F2E741BD47BB792ED8F24B0BB8</vt:lpwstr>
  </property>
</Properties>
</file>