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6.xml" ContentType="application/vnd.openxmlformats-officedocument.spreadsheetml.pivotTable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8.xml" ContentType="application/vnd.openxmlformats-officedocument.spreadsheetml.pivotTable+xml"/>
  <Override PartName="/xl/drawings/drawing10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9.xml" ContentType="application/vnd.openxmlformats-officedocument.spreadsheetml.pivotTable+xml"/>
  <Override PartName="/xl/drawings/drawing11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0.xml" ContentType="application/vnd.openxmlformats-officedocument.spreadsheetml.pivotTable+xml"/>
  <Override PartName="/xl/drawings/drawing12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1.xml" ContentType="application/vnd.openxmlformats-officedocument.spreadsheetml.pivotTable+xml"/>
  <Override PartName="/xl/drawings/drawing13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2.xml" ContentType="application/vnd.openxmlformats-officedocument.spreadsheetml.pivotTable+xml"/>
  <Override PartName="/xl/drawings/drawing14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13.xml" ContentType="application/vnd.openxmlformats-officedocument.spreadsheetml.pivotTable+xml"/>
  <Override PartName="/xl/drawings/drawing15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4.xml" ContentType="application/vnd.openxmlformats-officedocument.spreadsheetml.pivotTable+xml"/>
  <Override PartName="/xl/drawings/drawing16.xml" ContentType="application/vnd.openxmlformats-officedocument.drawing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5.xml" ContentType="application/vnd.openxmlformats-officedocument.spreadsheetml.pivotTable+xml"/>
  <Override PartName="/xl/drawings/drawing17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6.xml" ContentType="application/vnd.openxmlformats-officedocument.spreadsheetml.pivotTable+xml"/>
  <Override PartName="/xl/drawings/drawing18.xml" ContentType="application/vnd.openxmlformats-officedocument.drawing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7.xml" ContentType="application/vnd.openxmlformats-officedocument.spreadsheetml.pivotTable+xml"/>
  <Override PartName="/xl/drawings/drawing19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8.xml" ContentType="application/vnd.openxmlformats-officedocument.spreadsheetml.pivotTable+xml"/>
  <Override PartName="/xl/drawings/drawing20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9.xml" ContentType="application/vnd.openxmlformats-officedocument.spreadsheetml.pivotTable+xml"/>
  <Override PartName="/xl/drawings/drawing21.xml" ContentType="application/vnd.openxmlformats-officedocument.drawing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20.xml" ContentType="application/vnd.openxmlformats-officedocument.spreadsheetml.pivotTable+xml"/>
  <Override PartName="/xl/drawings/drawing22.xml" ContentType="application/vnd.openxmlformats-officedocument.drawing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21.xml" ContentType="application/vnd.openxmlformats-officedocument.spreadsheetml.pivotTable+xml"/>
  <Override PartName="/xl/drawings/drawing23.xml" ContentType="application/vnd.openxmlformats-officedocument.drawing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pivotTables/pivotTable22.xml" ContentType="application/vnd.openxmlformats-officedocument.spreadsheetml.pivotTab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pivotTables/pivotTable23.xml" ContentType="application/vnd.openxmlformats-officedocument.spreadsheetml.pivotTab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ivotTables/pivotTable24.xml" ContentType="application/vnd.openxmlformats-officedocument.spreadsheetml.pivotTab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25.xml" ContentType="application/vnd.openxmlformats-officedocument.spreadsheetml.pivotTab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pivotTables/pivotTable26.xml" ContentType="application/vnd.openxmlformats-officedocument.spreadsheetml.pivotTabl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27.xml" ContentType="application/vnd.openxmlformats-officedocument.spreadsheetml.pivotTab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pivotTables/pivotTable28.xml" ContentType="application/vnd.openxmlformats-officedocument.spreadsheetml.pivotTab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pivotTables/pivotTable29.xml" ContentType="application/vnd.openxmlformats-officedocument.spreadsheetml.pivotTable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Conalep\Documents\Respaldo_0149039\2018\Estadistica\indicadores\Cuarto trimestre\"/>
    </mc:Choice>
  </mc:AlternateContent>
  <bookViews>
    <workbookView xWindow="0" yWindow="0" windowWidth="20490" windowHeight="7740" tabRatio="782" firstSheet="2" activeTab="30"/>
  </bookViews>
  <sheets>
    <sheet name="Consulta_Estado" sheetId="108" state="hidden" r:id="rId1"/>
    <sheet name="base_consulta_estado" sheetId="107" state="hidden" r:id="rId2"/>
    <sheet name="Resumen_general" sheetId="73" r:id="rId3"/>
    <sheet name="cobertura" sheetId="77" r:id="rId4"/>
    <sheet name="demanda" sheetId="80" r:id="rId5"/>
    <sheet name="absorcion" sheetId="81" r:id="rId6"/>
    <sheet name="matricula" sheetId="82" r:id="rId7"/>
    <sheet name="capacidad" sheetId="83" r:id="rId8"/>
    <sheet name="abandono" sheetId="84" r:id="rId9"/>
    <sheet name="reprobacion" sheetId="85" r:id="rId10"/>
    <sheet name="eficienciat" sheetId="86" r:id="rId11"/>
    <sheet name="tasaegreso" sheetId="87" r:id="rId12"/>
    <sheet name="titulacion" sheetId="88" r:id="rId13"/>
    <sheet name="costo" sheetId="89" r:id="rId14"/>
    <sheet name="adocente" sheetId="90" r:id="rId15"/>
    <sheet name="becas" sheetId="91" r:id="rId16"/>
    <sheet name="alupc" sheetId="92" r:id="rId17"/>
    <sheet name="admpc" sheetId="93" r:id="rId18"/>
    <sheet name="capacitacion" sheetId="96" r:id="rId19"/>
    <sheet name="servtec" sheetId="95" r:id="rId20"/>
    <sheet name="certificacion" sheetId="94" r:id="rId21"/>
    <sheet name="bexterno" sheetId="97" r:id="rId22"/>
    <sheet name="PCSINEMS" sheetId="98" r:id="rId23"/>
    <sheet name="cd" sheetId="99" r:id="rId24"/>
    <sheet name="eprt" sheetId="100" r:id="rId25"/>
    <sheet name="epr" sheetId="101" r:id="rId26"/>
    <sheet name="egc" sheetId="102" r:id="rId27"/>
    <sheet name="egi" sheetId="103" r:id="rId28"/>
    <sheet name="auto" sheetId="104" r:id="rId29"/>
    <sheet name="capip" sheetId="105" r:id="rId30"/>
    <sheet name="cnpr" sheetId="106" r:id="rId31"/>
    <sheet name="base_general" sheetId="76" state="hidden" r:id="rId32"/>
  </sheets>
  <externalReferences>
    <externalReference r:id="rId33"/>
  </externalReferences>
  <definedNames>
    <definedName name="_xlnm._FilterDatabase" localSheetId="31" hidden="1">base_general!$A$1:$BD$239</definedName>
    <definedName name="_xlnm.Print_Area" localSheetId="0">Consulta_Estado!$A$1:$J$28</definedName>
    <definedName name="EntidadDinamico">[1]Cat_entidad!$C$2</definedName>
    <definedName name="SegmentaciónDeDatos_entidad">#N/A</definedName>
    <definedName name="_xlnm.Print_Titles" localSheetId="0">Consulta_Estado!$1:$8</definedName>
    <definedName name="_xlnm.Print_Titles" localSheetId="2">Resumen_general!$1:$7</definedName>
  </definedNames>
  <calcPr calcId="162913"/>
  <pivotCaches>
    <pivotCache cacheId="0" r:id="rId34"/>
  </pivotCaches>
  <extLst>
    <ext xmlns:x14="http://schemas.microsoft.com/office/spreadsheetml/2009/9/main" uri="{BBE1A952-AA13-448e-AADC-164F8A28A991}">
      <x14:slicerCaches>
        <x14:slicerCache r:id="rId3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08" l="1"/>
  <c r="I25" i="108"/>
  <c r="H25" i="108"/>
  <c r="G25" i="108"/>
  <c r="F25" i="108"/>
  <c r="E25" i="108"/>
  <c r="D25" i="108"/>
  <c r="C25" i="108"/>
  <c r="I28" i="108"/>
  <c r="I26" i="108"/>
  <c r="I24" i="108"/>
  <c r="I22" i="108"/>
  <c r="I20" i="108"/>
  <c r="I18" i="108"/>
  <c r="I16" i="108"/>
  <c r="I14" i="108"/>
  <c r="I12" i="108"/>
  <c r="I10" i="108"/>
  <c r="I27" i="108"/>
  <c r="I23" i="108"/>
  <c r="I21" i="108"/>
  <c r="I19" i="108"/>
  <c r="I17" i="108"/>
  <c r="I15" i="108"/>
  <c r="I13" i="108"/>
  <c r="I11" i="108"/>
  <c r="I9" i="108"/>
  <c r="H28" i="108"/>
  <c r="H26" i="108"/>
  <c r="H24" i="108"/>
  <c r="H22" i="108"/>
  <c r="H20" i="108"/>
  <c r="H18" i="108"/>
  <c r="H16" i="108"/>
  <c r="H14" i="108"/>
  <c r="H12" i="108"/>
  <c r="H10" i="108"/>
  <c r="H27" i="108"/>
  <c r="H23" i="108"/>
  <c r="H21" i="108"/>
  <c r="H19" i="108"/>
  <c r="H17" i="108"/>
  <c r="H15" i="108"/>
  <c r="H13" i="108"/>
  <c r="H11" i="108"/>
  <c r="H9" i="108"/>
  <c r="G28" i="108"/>
  <c r="G26" i="108"/>
  <c r="G24" i="108"/>
  <c r="G22" i="108"/>
  <c r="G20" i="108"/>
  <c r="G18" i="108"/>
  <c r="G16" i="108"/>
  <c r="G14" i="108"/>
  <c r="G12" i="108"/>
  <c r="G10" i="108"/>
  <c r="G27" i="108"/>
  <c r="G23" i="108"/>
  <c r="G21" i="108"/>
  <c r="G19" i="108"/>
  <c r="G17" i="108"/>
  <c r="G15" i="108"/>
  <c r="G13" i="108"/>
  <c r="G11" i="108"/>
  <c r="G9" i="108"/>
  <c r="F28" i="108"/>
  <c r="F26" i="108"/>
  <c r="F24" i="108"/>
  <c r="F22" i="108"/>
  <c r="F20" i="108"/>
  <c r="F18" i="108"/>
  <c r="F16" i="108"/>
  <c r="F14" i="108"/>
  <c r="F12" i="108"/>
  <c r="F10" i="108"/>
  <c r="F27" i="108"/>
  <c r="F23" i="108"/>
  <c r="F21" i="108"/>
  <c r="F19" i="108"/>
  <c r="F17" i="108"/>
  <c r="F15" i="108"/>
  <c r="F13" i="108"/>
  <c r="F11" i="108"/>
  <c r="F9" i="108"/>
  <c r="E28" i="108"/>
  <c r="E26" i="108"/>
  <c r="E24" i="108"/>
  <c r="E22" i="108"/>
  <c r="E20" i="108"/>
  <c r="E18" i="108"/>
  <c r="E16" i="108"/>
  <c r="E14" i="108"/>
  <c r="E12" i="108"/>
  <c r="E10" i="108"/>
  <c r="E27" i="108"/>
  <c r="E23" i="108"/>
  <c r="E21" i="108"/>
  <c r="E19" i="108"/>
  <c r="E17" i="108"/>
  <c r="E15" i="108"/>
  <c r="E13" i="108"/>
  <c r="E11" i="108"/>
  <c r="E9" i="108"/>
  <c r="D28" i="108"/>
  <c r="D26" i="108"/>
  <c r="D24" i="108"/>
  <c r="D22" i="108"/>
  <c r="D20" i="108"/>
  <c r="D18" i="108"/>
  <c r="D16" i="108"/>
  <c r="D14" i="108"/>
  <c r="D12" i="108"/>
  <c r="D10" i="108"/>
  <c r="D27" i="108"/>
  <c r="D23" i="108"/>
  <c r="D21" i="108"/>
  <c r="D19" i="108"/>
  <c r="D17" i="108"/>
  <c r="D15" i="108"/>
  <c r="D13" i="108"/>
  <c r="D11" i="108"/>
  <c r="D9" i="108"/>
  <c r="C28" i="108"/>
  <c r="C27" i="108"/>
  <c r="C26" i="108"/>
  <c r="C24" i="108"/>
  <c r="C23" i="108"/>
  <c r="C22" i="108"/>
  <c r="C21" i="108"/>
  <c r="C20" i="108"/>
  <c r="C19" i="108"/>
  <c r="C18" i="108"/>
  <c r="C17" i="108"/>
  <c r="C16" i="108"/>
  <c r="C15" i="108"/>
  <c r="C14" i="108"/>
  <c r="C13" i="108"/>
  <c r="C12" i="108"/>
  <c r="C11" i="108"/>
  <c r="C10" i="108"/>
  <c r="C9" i="108"/>
  <c r="J9" i="108" l="1"/>
  <c r="J10" i="108"/>
  <c r="J11" i="108"/>
  <c r="J12" i="108"/>
  <c r="J13" i="108"/>
  <c r="J14" i="108"/>
  <c r="J15" i="108"/>
  <c r="J16" i="108"/>
  <c r="J17" i="108"/>
  <c r="J18" i="108"/>
  <c r="J19" i="108"/>
  <c r="J20" i="108"/>
  <c r="J21" i="108"/>
  <c r="J22" i="108"/>
  <c r="J23" i="108"/>
  <c r="J24" i="108"/>
  <c r="J26" i="108"/>
  <c r="J27" i="108"/>
  <c r="J28" i="108"/>
  <c r="J25" i="108"/>
  <c r="K242" i="76"/>
  <c r="G242" i="76"/>
  <c r="I38" i="73" l="1"/>
  <c r="H38" i="73"/>
  <c r="G38" i="73"/>
  <c r="F38" i="73"/>
  <c r="E38" i="73"/>
  <c r="D38" i="73"/>
  <c r="C38" i="73"/>
  <c r="I37" i="73"/>
  <c r="H37" i="73"/>
  <c r="G37" i="73"/>
  <c r="F37" i="73"/>
  <c r="E37" i="73"/>
  <c r="D37" i="73"/>
  <c r="C37" i="73"/>
  <c r="H36" i="73"/>
  <c r="H35" i="73"/>
  <c r="H34" i="73"/>
  <c r="H33" i="73"/>
  <c r="H32" i="73"/>
  <c r="H31" i="73"/>
  <c r="I36" i="73"/>
  <c r="G36" i="73"/>
  <c r="F36" i="73"/>
  <c r="E36" i="73"/>
  <c r="D36" i="73"/>
  <c r="C36" i="73"/>
  <c r="I35" i="73"/>
  <c r="G35" i="73"/>
  <c r="F35" i="73"/>
  <c r="E35" i="73"/>
  <c r="D35" i="73"/>
  <c r="C35" i="73"/>
  <c r="I34" i="73"/>
  <c r="G34" i="73"/>
  <c r="F34" i="73"/>
  <c r="E34" i="73"/>
  <c r="D34" i="73"/>
  <c r="C34" i="73"/>
  <c r="I33" i="73"/>
  <c r="G33" i="73"/>
  <c r="F33" i="73"/>
  <c r="E33" i="73"/>
  <c r="D33" i="73"/>
  <c r="C33" i="73"/>
  <c r="I32" i="73"/>
  <c r="G32" i="73"/>
  <c r="F32" i="73"/>
  <c r="E32" i="73"/>
  <c r="D32" i="73"/>
  <c r="C32" i="73"/>
  <c r="I31" i="73"/>
  <c r="G31" i="73"/>
  <c r="F31" i="73"/>
  <c r="E31" i="73"/>
  <c r="D31" i="73"/>
  <c r="C31" i="73"/>
  <c r="D27" i="106" l="1"/>
  <c r="C27" i="106"/>
  <c r="B27" i="106"/>
  <c r="A27" i="106"/>
  <c r="D26" i="106"/>
  <c r="C26" i="106"/>
  <c r="B26" i="106"/>
  <c r="A26" i="106"/>
  <c r="D25" i="106"/>
  <c r="C25" i="106"/>
  <c r="B25" i="106"/>
  <c r="A25" i="106"/>
  <c r="D24" i="106"/>
  <c r="C24" i="106"/>
  <c r="B24" i="106"/>
  <c r="A24" i="106"/>
  <c r="D23" i="106"/>
  <c r="C23" i="106"/>
  <c r="B23" i="106"/>
  <c r="A23" i="106"/>
  <c r="D22" i="106"/>
  <c r="C22" i="106"/>
  <c r="B22" i="106"/>
  <c r="A22" i="106"/>
  <c r="D21" i="106"/>
  <c r="C21" i="106"/>
  <c r="B21" i="106"/>
  <c r="A21" i="106"/>
  <c r="D20" i="106"/>
  <c r="C20" i="106"/>
  <c r="B20" i="106"/>
  <c r="A20" i="106"/>
  <c r="D18" i="106"/>
  <c r="C18" i="106"/>
  <c r="B18" i="106"/>
  <c r="D27" i="105"/>
  <c r="C27" i="105"/>
  <c r="B27" i="105"/>
  <c r="A27" i="105"/>
  <c r="D26" i="105"/>
  <c r="C26" i="105"/>
  <c r="B26" i="105"/>
  <c r="A26" i="105"/>
  <c r="D25" i="105"/>
  <c r="C25" i="105"/>
  <c r="B25" i="105"/>
  <c r="A25" i="105"/>
  <c r="D24" i="105"/>
  <c r="C24" i="105"/>
  <c r="B24" i="105"/>
  <c r="A24" i="105"/>
  <c r="D23" i="105"/>
  <c r="C23" i="105"/>
  <c r="B23" i="105"/>
  <c r="A23" i="105"/>
  <c r="D22" i="105"/>
  <c r="C22" i="105"/>
  <c r="B22" i="105"/>
  <c r="A22" i="105"/>
  <c r="D21" i="105"/>
  <c r="C21" i="105"/>
  <c r="B21" i="105"/>
  <c r="A21" i="105"/>
  <c r="D20" i="105"/>
  <c r="C20" i="105"/>
  <c r="B20" i="105"/>
  <c r="A20" i="105"/>
  <c r="D18" i="105"/>
  <c r="C18" i="105"/>
  <c r="B18" i="105"/>
  <c r="D27" i="104" l="1"/>
  <c r="C27" i="104"/>
  <c r="B27" i="104"/>
  <c r="A27" i="104"/>
  <c r="D26" i="104"/>
  <c r="C26" i="104"/>
  <c r="B26" i="104"/>
  <c r="A26" i="104"/>
  <c r="D25" i="104"/>
  <c r="C25" i="104"/>
  <c r="B25" i="104"/>
  <c r="A25" i="104"/>
  <c r="D24" i="104"/>
  <c r="C24" i="104"/>
  <c r="B24" i="104"/>
  <c r="A24" i="104"/>
  <c r="D23" i="104"/>
  <c r="C23" i="104"/>
  <c r="B23" i="104"/>
  <c r="A23" i="104"/>
  <c r="D22" i="104"/>
  <c r="C22" i="104"/>
  <c r="B22" i="104"/>
  <c r="A22" i="104"/>
  <c r="D21" i="104"/>
  <c r="C21" i="104"/>
  <c r="B21" i="104"/>
  <c r="A21" i="104"/>
  <c r="D20" i="104"/>
  <c r="C20" i="104"/>
  <c r="B20" i="104"/>
  <c r="A20" i="104"/>
  <c r="D18" i="104"/>
  <c r="C18" i="104"/>
  <c r="B18" i="104"/>
  <c r="D27" i="103"/>
  <c r="C27" i="103"/>
  <c r="B27" i="103"/>
  <c r="A27" i="103"/>
  <c r="D26" i="103"/>
  <c r="C26" i="103"/>
  <c r="B26" i="103"/>
  <c r="A26" i="103"/>
  <c r="D25" i="103"/>
  <c r="C25" i="103"/>
  <c r="B25" i="103"/>
  <c r="A25" i="103"/>
  <c r="D24" i="103"/>
  <c r="C24" i="103"/>
  <c r="B24" i="103"/>
  <c r="A24" i="103"/>
  <c r="D23" i="103"/>
  <c r="C23" i="103"/>
  <c r="B23" i="103"/>
  <c r="A23" i="103"/>
  <c r="D22" i="103"/>
  <c r="C22" i="103"/>
  <c r="B22" i="103"/>
  <c r="A22" i="103"/>
  <c r="D21" i="103"/>
  <c r="C21" i="103"/>
  <c r="B21" i="103"/>
  <c r="A21" i="103"/>
  <c r="D20" i="103"/>
  <c r="C20" i="103"/>
  <c r="B20" i="103"/>
  <c r="A20" i="103"/>
  <c r="D18" i="103"/>
  <c r="C18" i="103"/>
  <c r="B18" i="103"/>
  <c r="I19" i="96"/>
  <c r="I20" i="96"/>
  <c r="I21" i="96"/>
  <c r="I22" i="96"/>
  <c r="I23" i="96"/>
  <c r="I24" i="96"/>
  <c r="I25" i="96"/>
  <c r="I26" i="96"/>
  <c r="I27" i="96"/>
  <c r="I28" i="96"/>
  <c r="I29" i="96"/>
  <c r="I30" i="96"/>
  <c r="I31" i="96"/>
  <c r="I32" i="96"/>
  <c r="I33" i="96"/>
  <c r="I34" i="96"/>
  <c r="I35" i="96"/>
  <c r="I36" i="96"/>
  <c r="I37" i="96"/>
  <c r="I38" i="96"/>
  <c r="I39" i="96"/>
  <c r="I40" i="96"/>
  <c r="I41" i="96"/>
  <c r="I42" i="96"/>
  <c r="I43" i="96"/>
  <c r="I44" i="96"/>
  <c r="I45" i="96"/>
  <c r="I46" i="96"/>
  <c r="I47" i="96"/>
  <c r="I48" i="96"/>
  <c r="I49" i="96"/>
  <c r="I50" i="96"/>
  <c r="I51" i="96"/>
  <c r="I52" i="96"/>
  <c r="I53" i="96"/>
  <c r="I54" i="96"/>
  <c r="I55" i="96"/>
  <c r="I56" i="96"/>
  <c r="D27" i="102" l="1"/>
  <c r="C27" i="102"/>
  <c r="B27" i="102"/>
  <c r="A27" i="102"/>
  <c r="D26" i="102"/>
  <c r="C26" i="102"/>
  <c r="B26" i="102"/>
  <c r="A26" i="102"/>
  <c r="D25" i="102"/>
  <c r="C25" i="102"/>
  <c r="B25" i="102"/>
  <c r="A25" i="102"/>
  <c r="D24" i="102"/>
  <c r="C24" i="102"/>
  <c r="B24" i="102"/>
  <c r="A24" i="102"/>
  <c r="D23" i="102"/>
  <c r="C23" i="102"/>
  <c r="B23" i="102"/>
  <c r="A23" i="102"/>
  <c r="D22" i="102"/>
  <c r="C22" i="102"/>
  <c r="B22" i="102"/>
  <c r="A22" i="102"/>
  <c r="D21" i="102"/>
  <c r="C21" i="102"/>
  <c r="B21" i="102"/>
  <c r="A21" i="102"/>
  <c r="D20" i="102"/>
  <c r="C20" i="102"/>
  <c r="B20" i="102"/>
  <c r="A20" i="102"/>
  <c r="D18" i="102"/>
  <c r="C18" i="102"/>
  <c r="B18" i="102"/>
  <c r="D27" i="101"/>
  <c r="C27" i="101"/>
  <c r="B27" i="101"/>
  <c r="A27" i="101"/>
  <c r="D26" i="101"/>
  <c r="C26" i="101"/>
  <c r="B26" i="101"/>
  <c r="A26" i="101"/>
  <c r="D25" i="101"/>
  <c r="C25" i="101"/>
  <c r="B25" i="101"/>
  <c r="A25" i="101"/>
  <c r="D24" i="101"/>
  <c r="C24" i="101"/>
  <c r="B24" i="101"/>
  <c r="A24" i="101"/>
  <c r="D23" i="101"/>
  <c r="C23" i="101"/>
  <c r="B23" i="101"/>
  <c r="A23" i="101"/>
  <c r="D22" i="101"/>
  <c r="C22" i="101"/>
  <c r="B22" i="101"/>
  <c r="A22" i="101"/>
  <c r="D21" i="101"/>
  <c r="C21" i="101"/>
  <c r="B21" i="101"/>
  <c r="A21" i="101"/>
  <c r="D20" i="101"/>
  <c r="C20" i="101"/>
  <c r="B20" i="101"/>
  <c r="A20" i="101"/>
  <c r="D18" i="101"/>
  <c r="C18" i="101"/>
  <c r="B18" i="101"/>
  <c r="D18" i="100" l="1"/>
  <c r="D27" i="100"/>
  <c r="C27" i="100"/>
  <c r="B27" i="100"/>
  <c r="A27" i="100"/>
  <c r="D26" i="100"/>
  <c r="C26" i="100"/>
  <c r="B26" i="100"/>
  <c r="A26" i="100"/>
  <c r="D25" i="100"/>
  <c r="C25" i="100"/>
  <c r="B25" i="100"/>
  <c r="A25" i="100"/>
  <c r="D24" i="100"/>
  <c r="C24" i="100"/>
  <c r="B24" i="100"/>
  <c r="A24" i="100"/>
  <c r="D23" i="100"/>
  <c r="C23" i="100"/>
  <c r="B23" i="100"/>
  <c r="A23" i="100"/>
  <c r="D22" i="100"/>
  <c r="C22" i="100"/>
  <c r="B22" i="100"/>
  <c r="A22" i="100"/>
  <c r="D21" i="100"/>
  <c r="C21" i="100"/>
  <c r="B21" i="100"/>
  <c r="A21" i="100"/>
  <c r="D20" i="100"/>
  <c r="C20" i="100"/>
  <c r="B20" i="100"/>
  <c r="A20" i="100"/>
  <c r="C18" i="100"/>
  <c r="B18" i="100"/>
  <c r="A26" i="99" l="1"/>
  <c r="B26" i="99"/>
  <c r="C26" i="99"/>
  <c r="D26" i="99"/>
  <c r="A27" i="99"/>
  <c r="B27" i="99"/>
  <c r="C27" i="99"/>
  <c r="D27" i="99"/>
  <c r="A25" i="99"/>
  <c r="B25" i="99"/>
  <c r="C25" i="99"/>
  <c r="D25" i="99"/>
  <c r="A21" i="99"/>
  <c r="B21" i="99"/>
  <c r="C21" i="99"/>
  <c r="D21" i="99"/>
  <c r="A22" i="99"/>
  <c r="B22" i="99"/>
  <c r="C22" i="99"/>
  <c r="D22" i="99"/>
  <c r="A23" i="99"/>
  <c r="B23" i="99"/>
  <c r="C23" i="99"/>
  <c r="D23" i="99"/>
  <c r="A24" i="99"/>
  <c r="B24" i="99"/>
  <c r="C24" i="99"/>
  <c r="D24" i="99"/>
  <c r="B20" i="99"/>
  <c r="C20" i="99"/>
  <c r="D20" i="99"/>
  <c r="A20" i="99"/>
  <c r="C18" i="99" l="1"/>
  <c r="D18" i="99"/>
  <c r="B18" i="99"/>
  <c r="I19" i="98"/>
  <c r="I56" i="98"/>
  <c r="I55" i="98"/>
  <c r="I54" i="98"/>
  <c r="I53" i="98"/>
  <c r="I52" i="98"/>
  <c r="I51" i="98"/>
  <c r="I50" i="98"/>
  <c r="I49" i="98"/>
  <c r="I48" i="98"/>
  <c r="I47" i="98"/>
  <c r="I46" i="98"/>
  <c r="I45" i="98"/>
  <c r="I44" i="98"/>
  <c r="I43" i="98"/>
  <c r="I42" i="98"/>
  <c r="I41" i="98"/>
  <c r="I40" i="98"/>
  <c r="I39" i="98"/>
  <c r="I38" i="98"/>
  <c r="I37" i="98"/>
  <c r="I36" i="98"/>
  <c r="I35" i="98"/>
  <c r="I34" i="98"/>
  <c r="I33" i="98"/>
  <c r="I32" i="98"/>
  <c r="I31" i="98"/>
  <c r="I30" i="98"/>
  <c r="I29" i="98"/>
  <c r="I28" i="98"/>
  <c r="I27" i="98"/>
  <c r="I26" i="98"/>
  <c r="I25" i="98"/>
  <c r="I24" i="98"/>
  <c r="I23" i="98"/>
  <c r="I22" i="98"/>
  <c r="I21" i="98"/>
  <c r="I20" i="98"/>
  <c r="B14" i="98"/>
  <c r="I28" i="73" s="1"/>
  <c r="B13" i="98"/>
  <c r="H28" i="73" s="1"/>
  <c r="B12" i="98"/>
  <c r="G28" i="73" s="1"/>
  <c r="B11" i="98"/>
  <c r="F28" i="73" s="1"/>
  <c r="B10" i="98"/>
  <c r="E28" i="73" s="1"/>
  <c r="B9" i="98"/>
  <c r="D28" i="73" s="1"/>
  <c r="B8" i="98"/>
  <c r="C28" i="73" s="1"/>
  <c r="I56" i="97"/>
  <c r="I55" i="97"/>
  <c r="I54" i="97"/>
  <c r="I53" i="97"/>
  <c r="I52" i="97"/>
  <c r="I51" i="97"/>
  <c r="I50" i="97"/>
  <c r="I49" i="97"/>
  <c r="I48" i="97"/>
  <c r="I47" i="97"/>
  <c r="I46" i="97"/>
  <c r="I45" i="97"/>
  <c r="I44" i="97"/>
  <c r="I43" i="97"/>
  <c r="I42" i="97"/>
  <c r="I41" i="97"/>
  <c r="I40" i="97"/>
  <c r="I39" i="97"/>
  <c r="I38" i="97"/>
  <c r="I37" i="97"/>
  <c r="I36" i="97"/>
  <c r="I35" i="97"/>
  <c r="I34" i="97"/>
  <c r="I33" i="97"/>
  <c r="I32" i="97"/>
  <c r="I31" i="97"/>
  <c r="I30" i="97"/>
  <c r="I29" i="97"/>
  <c r="I28" i="97"/>
  <c r="I27" i="97"/>
  <c r="I26" i="97"/>
  <c r="I25" i="97"/>
  <c r="I24" i="97"/>
  <c r="I23" i="97"/>
  <c r="I22" i="97"/>
  <c r="I21" i="97"/>
  <c r="I20" i="97"/>
  <c r="I19" i="97"/>
  <c r="B14" i="97"/>
  <c r="I27" i="73" s="1"/>
  <c r="B13" i="97"/>
  <c r="H27" i="73" s="1"/>
  <c r="B12" i="97"/>
  <c r="G27" i="73" s="1"/>
  <c r="B11" i="97"/>
  <c r="F27" i="73" s="1"/>
  <c r="B10" i="97"/>
  <c r="E27" i="73" s="1"/>
  <c r="B9" i="97"/>
  <c r="D27" i="73" s="1"/>
  <c r="B8" i="97"/>
  <c r="C27" i="73" s="1"/>
  <c r="B14" i="96"/>
  <c r="B13" i="96"/>
  <c r="B12" i="96"/>
  <c r="B11" i="96"/>
  <c r="B10" i="96"/>
  <c r="B9" i="96"/>
  <c r="B8" i="96"/>
  <c r="B9" i="94"/>
  <c r="D26" i="73" s="1"/>
  <c r="B10" i="94"/>
  <c r="E26" i="73" s="1"/>
  <c r="B11" i="94"/>
  <c r="F26" i="73" s="1"/>
  <c r="B12" i="94"/>
  <c r="G26" i="73" s="1"/>
  <c r="B13" i="94"/>
  <c r="H26" i="73" s="1"/>
  <c r="B14" i="94"/>
  <c r="I26" i="73" s="1"/>
  <c r="I19" i="94"/>
  <c r="I20" i="94"/>
  <c r="I21" i="94"/>
  <c r="I22" i="94"/>
  <c r="I23" i="94"/>
  <c r="I24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C24" i="73" l="1"/>
  <c r="E24" i="73"/>
  <c r="G24" i="73"/>
  <c r="I24" i="73"/>
  <c r="D24" i="73"/>
  <c r="F24" i="73"/>
  <c r="H24" i="73"/>
  <c r="B15" i="98"/>
  <c r="B15" i="97"/>
  <c r="B15" i="96"/>
  <c r="B15" i="94"/>
  <c r="I56" i="95"/>
  <c r="I55" i="95"/>
  <c r="I54" i="95"/>
  <c r="I53" i="95"/>
  <c r="I52" i="95"/>
  <c r="I51" i="95"/>
  <c r="I50" i="95"/>
  <c r="I49" i="95"/>
  <c r="I48" i="95"/>
  <c r="I47" i="95"/>
  <c r="I46" i="95"/>
  <c r="I45" i="95"/>
  <c r="I44" i="95"/>
  <c r="I43" i="95"/>
  <c r="I42" i="95"/>
  <c r="I41" i="95"/>
  <c r="I40" i="95"/>
  <c r="I39" i="95"/>
  <c r="I38" i="95"/>
  <c r="I37" i="95"/>
  <c r="I36" i="95"/>
  <c r="I35" i="95"/>
  <c r="I34" i="95"/>
  <c r="I33" i="95"/>
  <c r="I32" i="95"/>
  <c r="I31" i="95"/>
  <c r="I30" i="95"/>
  <c r="I29" i="95"/>
  <c r="I28" i="95"/>
  <c r="I27" i="95"/>
  <c r="I26" i="95"/>
  <c r="I25" i="95"/>
  <c r="I24" i="95"/>
  <c r="I23" i="95"/>
  <c r="I22" i="95"/>
  <c r="I21" i="95"/>
  <c r="I20" i="95"/>
  <c r="I19" i="95"/>
  <c r="B14" i="95"/>
  <c r="I25" i="73" s="1"/>
  <c r="B13" i="95"/>
  <c r="H25" i="73" s="1"/>
  <c r="B12" i="95"/>
  <c r="G25" i="73" s="1"/>
  <c r="B11" i="95"/>
  <c r="F25" i="73" s="1"/>
  <c r="B10" i="95"/>
  <c r="E25" i="73" s="1"/>
  <c r="B9" i="95"/>
  <c r="D25" i="73" s="1"/>
  <c r="B8" i="95"/>
  <c r="C25" i="73" s="1"/>
  <c r="B15" i="95" l="1"/>
  <c r="B8" i="94"/>
  <c r="I56" i="93" l="1"/>
  <c r="I55" i="93"/>
  <c r="I54" i="93"/>
  <c r="I53" i="93"/>
  <c r="I52" i="93"/>
  <c r="I51" i="93"/>
  <c r="I50" i="93"/>
  <c r="I49" i="93"/>
  <c r="I48" i="93"/>
  <c r="I47" i="93"/>
  <c r="I46" i="93"/>
  <c r="I45" i="93"/>
  <c r="I44" i="93"/>
  <c r="I43" i="93"/>
  <c r="I42" i="93"/>
  <c r="I41" i="93"/>
  <c r="I40" i="93"/>
  <c r="I39" i="93"/>
  <c r="I38" i="93"/>
  <c r="I37" i="93"/>
  <c r="I36" i="93"/>
  <c r="I35" i="93"/>
  <c r="I34" i="93"/>
  <c r="I33" i="93"/>
  <c r="I32" i="93"/>
  <c r="I31" i="93"/>
  <c r="I30" i="93"/>
  <c r="I29" i="93"/>
  <c r="I28" i="93"/>
  <c r="I27" i="93"/>
  <c r="I26" i="93"/>
  <c r="I25" i="93"/>
  <c r="I24" i="93"/>
  <c r="I23" i="93"/>
  <c r="I22" i="93"/>
  <c r="I21" i="93"/>
  <c r="I20" i="93"/>
  <c r="I19" i="93"/>
  <c r="B14" i="93"/>
  <c r="I23" i="73" s="1"/>
  <c r="B13" i="93"/>
  <c r="H23" i="73" s="1"/>
  <c r="B12" i="93"/>
  <c r="G23" i="73" s="1"/>
  <c r="B11" i="93"/>
  <c r="F23" i="73" s="1"/>
  <c r="B10" i="93"/>
  <c r="E23" i="73" s="1"/>
  <c r="B9" i="93"/>
  <c r="D23" i="73" s="1"/>
  <c r="B8" i="93"/>
  <c r="C23" i="73" s="1"/>
  <c r="I56" i="92"/>
  <c r="I55" i="92"/>
  <c r="I54" i="92"/>
  <c r="I53" i="92"/>
  <c r="I52" i="92"/>
  <c r="I51" i="92"/>
  <c r="I50" i="92"/>
  <c r="I49" i="92"/>
  <c r="I48" i="92"/>
  <c r="I47" i="92"/>
  <c r="I46" i="92"/>
  <c r="I45" i="92"/>
  <c r="I44" i="92"/>
  <c r="I43" i="92"/>
  <c r="I42" i="92"/>
  <c r="I41" i="92"/>
  <c r="I40" i="92"/>
  <c r="I39" i="92"/>
  <c r="I38" i="92"/>
  <c r="I37" i="92"/>
  <c r="I36" i="92"/>
  <c r="I35" i="92"/>
  <c r="I34" i="92"/>
  <c r="I33" i="92"/>
  <c r="I32" i="92"/>
  <c r="I31" i="92"/>
  <c r="I30" i="92"/>
  <c r="I29" i="92"/>
  <c r="I28" i="92"/>
  <c r="I27" i="92"/>
  <c r="I26" i="92"/>
  <c r="I25" i="92"/>
  <c r="I24" i="92"/>
  <c r="I23" i="92"/>
  <c r="I22" i="92"/>
  <c r="I21" i="92"/>
  <c r="I20" i="92"/>
  <c r="I19" i="92"/>
  <c r="B14" i="92"/>
  <c r="I22" i="73" s="1"/>
  <c r="B13" i="92"/>
  <c r="H22" i="73" s="1"/>
  <c r="B12" i="92"/>
  <c r="G22" i="73" s="1"/>
  <c r="B11" i="92"/>
  <c r="F22" i="73" s="1"/>
  <c r="B10" i="92"/>
  <c r="E22" i="73" s="1"/>
  <c r="B9" i="92"/>
  <c r="D22" i="73" s="1"/>
  <c r="B8" i="92"/>
  <c r="C22" i="73" s="1"/>
  <c r="B15" i="93" l="1"/>
  <c r="B15" i="92"/>
  <c r="I56" i="91"/>
  <c r="I55" i="91"/>
  <c r="I54" i="91"/>
  <c r="I53" i="91"/>
  <c r="I52" i="91"/>
  <c r="I51" i="91"/>
  <c r="I50" i="91"/>
  <c r="I49" i="91"/>
  <c r="I48" i="91"/>
  <c r="I47" i="91"/>
  <c r="I46" i="91"/>
  <c r="I45" i="91"/>
  <c r="I44" i="91"/>
  <c r="I43" i="91"/>
  <c r="I42" i="91"/>
  <c r="I41" i="91"/>
  <c r="I40" i="91"/>
  <c r="I39" i="91"/>
  <c r="I38" i="91"/>
  <c r="I37" i="91"/>
  <c r="I36" i="91"/>
  <c r="I35" i="91"/>
  <c r="I34" i="91"/>
  <c r="I33" i="91"/>
  <c r="I32" i="91"/>
  <c r="I31" i="91"/>
  <c r="I30" i="91"/>
  <c r="I29" i="91"/>
  <c r="I28" i="91"/>
  <c r="I27" i="91"/>
  <c r="I26" i="91"/>
  <c r="I25" i="91"/>
  <c r="I24" i="91"/>
  <c r="I23" i="91"/>
  <c r="I22" i="91"/>
  <c r="I21" i="91"/>
  <c r="I20" i="91"/>
  <c r="I19" i="91"/>
  <c r="B14" i="91"/>
  <c r="I21" i="73" s="1"/>
  <c r="B13" i="91"/>
  <c r="H21" i="73" s="1"/>
  <c r="B12" i="91"/>
  <c r="G21" i="73" s="1"/>
  <c r="B11" i="91"/>
  <c r="F21" i="73" s="1"/>
  <c r="B10" i="91"/>
  <c r="E21" i="73" s="1"/>
  <c r="B9" i="91"/>
  <c r="D21" i="73" s="1"/>
  <c r="B8" i="91"/>
  <c r="C21" i="73" s="1"/>
  <c r="I56" i="90"/>
  <c r="I55" i="90"/>
  <c r="I54" i="90"/>
  <c r="I53" i="90"/>
  <c r="I52" i="90"/>
  <c r="I51" i="90"/>
  <c r="I50" i="90"/>
  <c r="I49" i="90"/>
  <c r="I48" i="90"/>
  <c r="I47" i="90"/>
  <c r="I46" i="90"/>
  <c r="I45" i="90"/>
  <c r="I44" i="90"/>
  <c r="I43" i="90"/>
  <c r="I42" i="90"/>
  <c r="I41" i="90"/>
  <c r="I40" i="90"/>
  <c r="I39" i="90"/>
  <c r="I38" i="90"/>
  <c r="I37" i="90"/>
  <c r="I36" i="90"/>
  <c r="I35" i="90"/>
  <c r="I34" i="90"/>
  <c r="I33" i="90"/>
  <c r="I32" i="90"/>
  <c r="I31" i="90"/>
  <c r="I30" i="90"/>
  <c r="I29" i="90"/>
  <c r="I28" i="90"/>
  <c r="I27" i="90"/>
  <c r="I26" i="90"/>
  <c r="I25" i="90"/>
  <c r="I24" i="90"/>
  <c r="I23" i="90"/>
  <c r="I22" i="90"/>
  <c r="I21" i="90"/>
  <c r="I20" i="90"/>
  <c r="I19" i="90"/>
  <c r="B14" i="90"/>
  <c r="I20" i="73" s="1"/>
  <c r="B13" i="90"/>
  <c r="H20" i="73" s="1"/>
  <c r="B12" i="90"/>
  <c r="G20" i="73" s="1"/>
  <c r="B11" i="90"/>
  <c r="F20" i="73" s="1"/>
  <c r="B10" i="90"/>
  <c r="E20" i="73" s="1"/>
  <c r="B9" i="90"/>
  <c r="D20" i="73" s="1"/>
  <c r="B8" i="90"/>
  <c r="C20" i="73" s="1"/>
  <c r="I56" i="89"/>
  <c r="I55" i="89"/>
  <c r="I54" i="89"/>
  <c r="I53" i="89"/>
  <c r="I52" i="89"/>
  <c r="I51" i="89"/>
  <c r="I50" i="89"/>
  <c r="I49" i="89"/>
  <c r="I48" i="89"/>
  <c r="I47" i="89"/>
  <c r="I46" i="89"/>
  <c r="I45" i="89"/>
  <c r="I44" i="89"/>
  <c r="I43" i="89"/>
  <c r="I42" i="89"/>
  <c r="I41" i="89"/>
  <c r="I40" i="89"/>
  <c r="I39" i="89"/>
  <c r="I38" i="89"/>
  <c r="I37" i="89"/>
  <c r="I36" i="89"/>
  <c r="I35" i="89"/>
  <c r="I34" i="89"/>
  <c r="I33" i="89"/>
  <c r="I32" i="89"/>
  <c r="I31" i="89"/>
  <c r="I30" i="89"/>
  <c r="I29" i="89"/>
  <c r="I28" i="89"/>
  <c r="I27" i="89"/>
  <c r="I26" i="89"/>
  <c r="I25" i="89"/>
  <c r="I24" i="89"/>
  <c r="I23" i="89"/>
  <c r="I22" i="89"/>
  <c r="I21" i="89"/>
  <c r="I20" i="89"/>
  <c r="I19" i="89"/>
  <c r="B14" i="89"/>
  <c r="I19" i="73" s="1"/>
  <c r="B13" i="89"/>
  <c r="H19" i="73" s="1"/>
  <c r="B12" i="89"/>
  <c r="G19" i="73" s="1"/>
  <c r="B11" i="89"/>
  <c r="F19" i="73" s="1"/>
  <c r="B10" i="89"/>
  <c r="E19" i="73" s="1"/>
  <c r="B9" i="89"/>
  <c r="D19" i="73" s="1"/>
  <c r="B8" i="89"/>
  <c r="C19" i="73" s="1"/>
  <c r="B15" i="91" l="1"/>
  <c r="B15" i="90"/>
  <c r="B15" i="89"/>
  <c r="I56" i="88"/>
  <c r="I55" i="88"/>
  <c r="I54" i="88"/>
  <c r="I53" i="88"/>
  <c r="I52" i="88"/>
  <c r="I51" i="88"/>
  <c r="I50" i="88"/>
  <c r="I49" i="88"/>
  <c r="I48" i="88"/>
  <c r="I47" i="88"/>
  <c r="I46" i="88"/>
  <c r="I45" i="88"/>
  <c r="I44" i="88"/>
  <c r="I43" i="88"/>
  <c r="I42" i="88"/>
  <c r="I41" i="88"/>
  <c r="I40" i="88"/>
  <c r="I39" i="88"/>
  <c r="I38" i="88"/>
  <c r="I37" i="88"/>
  <c r="I36" i="88"/>
  <c r="I35" i="88"/>
  <c r="I34" i="88"/>
  <c r="I33" i="88"/>
  <c r="I32" i="88"/>
  <c r="I31" i="88"/>
  <c r="I30" i="88"/>
  <c r="I29" i="88"/>
  <c r="I28" i="88"/>
  <c r="I27" i="88"/>
  <c r="I26" i="88"/>
  <c r="I25" i="88"/>
  <c r="I24" i="88"/>
  <c r="I23" i="88"/>
  <c r="I22" i="88"/>
  <c r="I21" i="88"/>
  <c r="I20" i="88"/>
  <c r="I19" i="88"/>
  <c r="B14" i="88"/>
  <c r="I18" i="73" s="1"/>
  <c r="B13" i="88"/>
  <c r="H18" i="73" s="1"/>
  <c r="B12" i="88"/>
  <c r="G18" i="73" s="1"/>
  <c r="B11" i="88"/>
  <c r="F18" i="73" s="1"/>
  <c r="B10" i="88"/>
  <c r="E18" i="73" s="1"/>
  <c r="B9" i="88"/>
  <c r="D18" i="73" s="1"/>
  <c r="B8" i="88"/>
  <c r="C18" i="73" s="1"/>
  <c r="B15" i="88" l="1"/>
  <c r="I52" i="87" l="1"/>
  <c r="I19" i="87"/>
  <c r="I20" i="87"/>
  <c r="I21" i="87"/>
  <c r="I22" i="87"/>
  <c r="I23" i="87"/>
  <c r="I24" i="87"/>
  <c r="I25" i="87"/>
  <c r="I26" i="87"/>
  <c r="I27" i="87"/>
  <c r="I28" i="87"/>
  <c r="I29" i="87"/>
  <c r="I30" i="87"/>
  <c r="I31" i="87"/>
  <c r="I32" i="87"/>
  <c r="I33" i="87"/>
  <c r="I34" i="87"/>
  <c r="I35" i="87"/>
  <c r="I36" i="87"/>
  <c r="I37" i="87"/>
  <c r="I38" i="87"/>
  <c r="I39" i="87"/>
  <c r="I40" i="87"/>
  <c r="I41" i="87"/>
  <c r="I42" i="87"/>
  <c r="I43" i="87"/>
  <c r="I44" i="87"/>
  <c r="I45" i="87"/>
  <c r="I46" i="87"/>
  <c r="I47" i="87"/>
  <c r="I48" i="87"/>
  <c r="I49" i="87"/>
  <c r="I50" i="87"/>
  <c r="I51" i="87"/>
  <c r="I53" i="87"/>
  <c r="I54" i="87"/>
  <c r="I55" i="87"/>
  <c r="I56" i="87"/>
  <c r="B11" i="87"/>
  <c r="B14" i="87"/>
  <c r="I17" i="73" s="1"/>
  <c r="B13" i="87"/>
  <c r="H17" i="73" s="1"/>
  <c r="B12" i="87"/>
  <c r="G17" i="73" s="1"/>
  <c r="B15" i="87" l="1"/>
  <c r="I56" i="86"/>
  <c r="I55" i="86"/>
  <c r="I54" i="86"/>
  <c r="I53" i="86"/>
  <c r="I52" i="86"/>
  <c r="I51" i="86"/>
  <c r="I50" i="86"/>
  <c r="I49" i="86"/>
  <c r="I48" i="86"/>
  <c r="I47" i="86"/>
  <c r="I46" i="86"/>
  <c r="I45" i="86"/>
  <c r="I44" i="86"/>
  <c r="I43" i="86"/>
  <c r="I42" i="86"/>
  <c r="I41" i="86"/>
  <c r="I40" i="86"/>
  <c r="I39" i="86"/>
  <c r="I38" i="86"/>
  <c r="I37" i="86"/>
  <c r="I36" i="86"/>
  <c r="I35" i="86"/>
  <c r="I34" i="86"/>
  <c r="I33" i="86"/>
  <c r="I32" i="86"/>
  <c r="I31" i="86"/>
  <c r="I30" i="86"/>
  <c r="I29" i="86"/>
  <c r="I28" i="86"/>
  <c r="I27" i="86"/>
  <c r="I26" i="86"/>
  <c r="I25" i="86"/>
  <c r="I24" i="86"/>
  <c r="I23" i="86"/>
  <c r="I22" i="86"/>
  <c r="I21" i="86"/>
  <c r="I20" i="86"/>
  <c r="I19" i="86"/>
  <c r="B14" i="86"/>
  <c r="B13" i="86"/>
  <c r="B12" i="86"/>
  <c r="B11" i="86"/>
  <c r="B10" i="86"/>
  <c r="B9" i="86"/>
  <c r="B8" i="86"/>
  <c r="I56" i="85"/>
  <c r="I55" i="85"/>
  <c r="I54" i="85"/>
  <c r="I53" i="85"/>
  <c r="I52" i="85"/>
  <c r="I51" i="85"/>
  <c r="I50" i="85"/>
  <c r="I49" i="85"/>
  <c r="I48" i="85"/>
  <c r="I47" i="85"/>
  <c r="I46" i="85"/>
  <c r="I45" i="85"/>
  <c r="I44" i="85"/>
  <c r="I43" i="85"/>
  <c r="I42" i="85"/>
  <c r="I41" i="85"/>
  <c r="I40" i="85"/>
  <c r="I39" i="85"/>
  <c r="I38" i="85"/>
  <c r="I37" i="85"/>
  <c r="I36" i="85"/>
  <c r="I35" i="85"/>
  <c r="I34" i="85"/>
  <c r="I33" i="85"/>
  <c r="I32" i="85"/>
  <c r="I31" i="85"/>
  <c r="I30" i="85"/>
  <c r="I29" i="85"/>
  <c r="I28" i="85"/>
  <c r="I27" i="85"/>
  <c r="I26" i="85"/>
  <c r="I25" i="85"/>
  <c r="I24" i="85"/>
  <c r="I23" i="85"/>
  <c r="I22" i="85"/>
  <c r="I21" i="85"/>
  <c r="I20" i="85"/>
  <c r="I19" i="85"/>
  <c r="B14" i="85"/>
  <c r="I16" i="73" s="1"/>
  <c r="B13" i="85"/>
  <c r="H16" i="73" s="1"/>
  <c r="B12" i="85"/>
  <c r="G16" i="73" s="1"/>
  <c r="B11" i="85"/>
  <c r="F16" i="73" s="1"/>
  <c r="B10" i="85"/>
  <c r="E16" i="73" s="1"/>
  <c r="B9" i="85"/>
  <c r="D16" i="73" s="1"/>
  <c r="B8" i="85"/>
  <c r="C16" i="73" s="1"/>
  <c r="I56" i="84"/>
  <c r="I55" i="84"/>
  <c r="I54" i="84"/>
  <c r="I53" i="84"/>
  <c r="I52" i="84"/>
  <c r="I51" i="84"/>
  <c r="I50" i="84"/>
  <c r="I49" i="84"/>
  <c r="I48" i="84"/>
  <c r="I47" i="84"/>
  <c r="I46" i="84"/>
  <c r="I45" i="84"/>
  <c r="I44" i="84"/>
  <c r="I43" i="84"/>
  <c r="I42" i="84"/>
  <c r="I41" i="84"/>
  <c r="I40" i="84"/>
  <c r="I39" i="84"/>
  <c r="I38" i="84"/>
  <c r="I37" i="84"/>
  <c r="I36" i="84"/>
  <c r="I35" i="84"/>
  <c r="I34" i="84"/>
  <c r="I33" i="84"/>
  <c r="I32" i="84"/>
  <c r="I31" i="84"/>
  <c r="I30" i="84"/>
  <c r="I29" i="84"/>
  <c r="I28" i="84"/>
  <c r="I27" i="84"/>
  <c r="I26" i="84"/>
  <c r="I25" i="84"/>
  <c r="I24" i="84"/>
  <c r="I23" i="84"/>
  <c r="I22" i="84"/>
  <c r="I21" i="84"/>
  <c r="I20" i="84"/>
  <c r="I19" i="84"/>
  <c r="B14" i="84"/>
  <c r="I15" i="73" s="1"/>
  <c r="B13" i="84"/>
  <c r="H15" i="73" s="1"/>
  <c r="B12" i="84"/>
  <c r="G15" i="73" s="1"/>
  <c r="B11" i="84"/>
  <c r="F15" i="73" s="1"/>
  <c r="B10" i="84"/>
  <c r="E15" i="73" s="1"/>
  <c r="B9" i="84"/>
  <c r="D15" i="73" s="1"/>
  <c r="B8" i="84"/>
  <c r="C15" i="73" s="1"/>
  <c r="I56" i="83"/>
  <c r="I55" i="83"/>
  <c r="I54" i="83"/>
  <c r="I53" i="83"/>
  <c r="I52" i="83"/>
  <c r="I51" i="83"/>
  <c r="I50" i="83"/>
  <c r="I49" i="83"/>
  <c r="I48" i="83"/>
  <c r="I47" i="83"/>
  <c r="I46" i="83"/>
  <c r="I45" i="83"/>
  <c r="I44" i="83"/>
  <c r="I43" i="83"/>
  <c r="I42" i="83"/>
  <c r="I41" i="83"/>
  <c r="I40" i="83"/>
  <c r="I39" i="83"/>
  <c r="I38" i="83"/>
  <c r="I37" i="83"/>
  <c r="I36" i="83"/>
  <c r="I35" i="83"/>
  <c r="I34" i="83"/>
  <c r="I33" i="83"/>
  <c r="I32" i="83"/>
  <c r="I31" i="83"/>
  <c r="I30" i="83"/>
  <c r="I29" i="83"/>
  <c r="I28" i="83"/>
  <c r="I27" i="83"/>
  <c r="I26" i="83"/>
  <c r="I25" i="83"/>
  <c r="I24" i="83"/>
  <c r="I23" i="83"/>
  <c r="I22" i="83"/>
  <c r="I21" i="83"/>
  <c r="I20" i="83"/>
  <c r="I19" i="83"/>
  <c r="B14" i="83"/>
  <c r="I14" i="73" s="1"/>
  <c r="B13" i="83"/>
  <c r="H14" i="73" s="1"/>
  <c r="B12" i="83"/>
  <c r="G14" i="73" s="1"/>
  <c r="B11" i="83"/>
  <c r="F14" i="73" s="1"/>
  <c r="B10" i="83"/>
  <c r="E14" i="73" s="1"/>
  <c r="B9" i="83"/>
  <c r="D14" i="73" s="1"/>
  <c r="B8" i="83"/>
  <c r="C14" i="73" s="1"/>
  <c r="I56" i="82"/>
  <c r="I55" i="82"/>
  <c r="I54" i="82"/>
  <c r="I53" i="82"/>
  <c r="I52" i="82"/>
  <c r="I51" i="82"/>
  <c r="I50" i="82"/>
  <c r="I49" i="82"/>
  <c r="I48" i="82"/>
  <c r="I47" i="82"/>
  <c r="I46" i="82"/>
  <c r="I45" i="82"/>
  <c r="I44" i="82"/>
  <c r="I43" i="82"/>
  <c r="I42" i="82"/>
  <c r="I41" i="82"/>
  <c r="I40" i="82"/>
  <c r="I39" i="82"/>
  <c r="I38" i="82"/>
  <c r="I37" i="82"/>
  <c r="I36" i="82"/>
  <c r="I35" i="82"/>
  <c r="I34" i="82"/>
  <c r="I33" i="82"/>
  <c r="I32" i="82"/>
  <c r="I31" i="82"/>
  <c r="I30" i="82"/>
  <c r="I29" i="82"/>
  <c r="I28" i="82"/>
  <c r="I27" i="82"/>
  <c r="I26" i="82"/>
  <c r="I25" i="82"/>
  <c r="I24" i="82"/>
  <c r="I23" i="82"/>
  <c r="I22" i="82"/>
  <c r="I21" i="82"/>
  <c r="I20" i="82"/>
  <c r="I19" i="82"/>
  <c r="B14" i="82"/>
  <c r="I13" i="73" s="1"/>
  <c r="B13" i="82"/>
  <c r="H13" i="73" s="1"/>
  <c r="B12" i="82"/>
  <c r="G13" i="73" s="1"/>
  <c r="B11" i="82"/>
  <c r="F13" i="73" s="1"/>
  <c r="B10" i="82"/>
  <c r="E13" i="73" s="1"/>
  <c r="B9" i="82"/>
  <c r="D13" i="73" s="1"/>
  <c r="B8" i="82"/>
  <c r="C13" i="73" s="1"/>
  <c r="I56" i="81"/>
  <c r="I55" i="81"/>
  <c r="I54" i="81"/>
  <c r="I53" i="81"/>
  <c r="I52" i="81"/>
  <c r="I51" i="81"/>
  <c r="I50" i="81"/>
  <c r="I49" i="81"/>
  <c r="I48" i="81"/>
  <c r="I47" i="81"/>
  <c r="I46" i="81"/>
  <c r="I45" i="81"/>
  <c r="I44" i="81"/>
  <c r="I43" i="81"/>
  <c r="I42" i="81"/>
  <c r="I41" i="81"/>
  <c r="I40" i="81"/>
  <c r="I39" i="81"/>
  <c r="I38" i="81"/>
  <c r="I37" i="81"/>
  <c r="I36" i="81"/>
  <c r="I35" i="81"/>
  <c r="I34" i="81"/>
  <c r="I33" i="81"/>
  <c r="I32" i="81"/>
  <c r="I31" i="81"/>
  <c r="I30" i="81"/>
  <c r="I29" i="81"/>
  <c r="I28" i="81"/>
  <c r="I27" i="81"/>
  <c r="I26" i="81"/>
  <c r="I25" i="81"/>
  <c r="I24" i="81"/>
  <c r="I23" i="81"/>
  <c r="I22" i="81"/>
  <c r="I21" i="81"/>
  <c r="I20" i="81"/>
  <c r="I19" i="81"/>
  <c r="B14" i="81"/>
  <c r="I12" i="73" s="1"/>
  <c r="B13" i="81"/>
  <c r="H12" i="73" s="1"/>
  <c r="B12" i="81"/>
  <c r="G12" i="73" s="1"/>
  <c r="B11" i="81"/>
  <c r="F12" i="73" s="1"/>
  <c r="B10" i="81"/>
  <c r="E12" i="73" s="1"/>
  <c r="B9" i="81"/>
  <c r="D12" i="73" s="1"/>
  <c r="B8" i="81"/>
  <c r="C12" i="73" s="1"/>
  <c r="B15" i="86" l="1"/>
  <c r="B15" i="85"/>
  <c r="B15" i="84"/>
  <c r="B15" i="83"/>
  <c r="B15" i="82"/>
  <c r="B15" i="81"/>
  <c r="I56" i="80" l="1"/>
  <c r="I55" i="80"/>
  <c r="I54" i="80"/>
  <c r="I53" i="80"/>
  <c r="I52" i="80"/>
  <c r="I51" i="80"/>
  <c r="I50" i="80"/>
  <c r="I49" i="80"/>
  <c r="I48" i="80"/>
  <c r="I47" i="80"/>
  <c r="I46" i="80"/>
  <c r="I45" i="80"/>
  <c r="I44" i="80"/>
  <c r="I43" i="80"/>
  <c r="I42" i="80"/>
  <c r="I41" i="80"/>
  <c r="I40" i="80"/>
  <c r="I39" i="80"/>
  <c r="I38" i="80"/>
  <c r="I37" i="80"/>
  <c r="I36" i="80"/>
  <c r="I35" i="80"/>
  <c r="I34" i="80"/>
  <c r="I33" i="80"/>
  <c r="I32" i="80"/>
  <c r="I31" i="80"/>
  <c r="I30" i="80"/>
  <c r="I29" i="80"/>
  <c r="I28" i="80"/>
  <c r="I27" i="80"/>
  <c r="I26" i="80"/>
  <c r="I25" i="80"/>
  <c r="I24" i="80"/>
  <c r="I23" i="80"/>
  <c r="I22" i="80"/>
  <c r="I21" i="80"/>
  <c r="I20" i="80"/>
  <c r="I19" i="80"/>
  <c r="B14" i="80"/>
  <c r="I11" i="73" s="1"/>
  <c r="B13" i="80"/>
  <c r="H11" i="73" s="1"/>
  <c r="B12" i="80"/>
  <c r="G11" i="73" s="1"/>
  <c r="B11" i="80"/>
  <c r="F11" i="73" s="1"/>
  <c r="B10" i="80"/>
  <c r="E11" i="73" s="1"/>
  <c r="B9" i="80"/>
  <c r="D11" i="73" s="1"/>
  <c r="B8" i="80"/>
  <c r="C11" i="73" s="1"/>
  <c r="B14" i="77"/>
  <c r="I10" i="73" s="1"/>
  <c r="B13" i="77"/>
  <c r="H10" i="73" s="1"/>
  <c r="B12" i="77"/>
  <c r="G10" i="73" s="1"/>
  <c r="B11" i="77"/>
  <c r="F10" i="73" s="1"/>
  <c r="B10" i="77"/>
  <c r="E10" i="73" s="1"/>
  <c r="B9" i="77"/>
  <c r="D10" i="73" s="1"/>
  <c r="B8" i="77"/>
  <c r="C10" i="73" s="1"/>
  <c r="I56" i="77"/>
  <c r="I55" i="77"/>
  <c r="I54" i="77"/>
  <c r="I53" i="77"/>
  <c r="I52" i="77"/>
  <c r="I51" i="77"/>
  <c r="I50" i="77"/>
  <c r="I49" i="77"/>
  <c r="I48" i="77"/>
  <c r="I47" i="77"/>
  <c r="I46" i="77"/>
  <c r="I45" i="77"/>
  <c r="I44" i="77"/>
  <c r="I43" i="77"/>
  <c r="I42" i="77"/>
  <c r="I41" i="77"/>
  <c r="I40" i="77"/>
  <c r="I39" i="77"/>
  <c r="I38" i="77"/>
  <c r="I37" i="77"/>
  <c r="I36" i="77"/>
  <c r="I35" i="77"/>
  <c r="I34" i="77"/>
  <c r="I33" i="77"/>
  <c r="I32" i="77"/>
  <c r="I31" i="77"/>
  <c r="I30" i="77"/>
  <c r="I29" i="77"/>
  <c r="I28" i="77"/>
  <c r="I27" i="77"/>
  <c r="I26" i="77"/>
  <c r="I25" i="77"/>
  <c r="I24" i="77"/>
  <c r="I23" i="77"/>
  <c r="I22" i="77"/>
  <c r="I21" i="77"/>
  <c r="I20" i="77"/>
  <c r="I19" i="77"/>
  <c r="B15" i="80" l="1"/>
  <c r="B15" i="77"/>
</calcChain>
</file>

<file path=xl/sharedStrings.xml><?xml version="1.0" encoding="utf-8"?>
<sst xmlns="http://schemas.openxmlformats.org/spreadsheetml/2006/main" count="2238" uniqueCount="301">
  <si>
    <t>Valor</t>
  </si>
  <si>
    <t>Aguascalientes</t>
  </si>
  <si>
    <t>-</t>
  </si>
  <si>
    <t>Baja California</t>
  </si>
  <si>
    <t>Baja California Sur</t>
  </si>
  <si>
    <t>Campeche</t>
  </si>
  <si>
    <t>Chiapas</t>
  </si>
  <si>
    <t>Chihuahua</t>
  </si>
  <si>
    <t>Colima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</si>
  <si>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</si>
  <si>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</si>
  <si>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</si>
  <si>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</si>
  <si>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</si>
  <si>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</si>
  <si>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</si>
  <si>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</si>
  <si>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</si>
  <si>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</si>
  <si>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</si>
  <si>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</si>
  <si>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</si>
  <si>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</si>
  <si>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</si>
  <si>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</si>
  <si>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</si>
  <si>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</si>
  <si>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</si>
  <si>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Oaxaca</t>
  </si>
  <si>
    <t>Querétaro de Arteaga</t>
  </si>
  <si>
    <t>Michoacán de Ocampo</t>
  </si>
  <si>
    <t>Coahuila de Zaragoza</t>
  </si>
  <si>
    <t>Ciudad de México</t>
  </si>
  <si>
    <t>No.</t>
  </si>
  <si>
    <t>INDICADOR</t>
  </si>
  <si>
    <t>Alumnos por Docente</t>
  </si>
  <si>
    <t>Personas Capacitadas</t>
  </si>
  <si>
    <t>Total general</t>
  </si>
  <si>
    <t>Servicios Tecnológicos Proporcionados</t>
  </si>
  <si>
    <t>Oficinas Nacionales</t>
  </si>
  <si>
    <t>Otros</t>
  </si>
  <si>
    <t>Fuente: Dirección de Acreditación y Operación de Centros de Evaluación</t>
  </si>
  <si>
    <t>Dirección de Evaluación Institucional</t>
  </si>
  <si>
    <t>Fuente: Sistema de Administración Escolar (SAE). Dirección de Servicios Educativos</t>
  </si>
  <si>
    <t>Certificación de competencias</t>
  </si>
  <si>
    <t>Año</t>
  </si>
  <si>
    <t>INDICADORES EDUCATIVOS</t>
  </si>
  <si>
    <t>2017-2018</t>
  </si>
  <si>
    <t>Secretaría de Planeación y Desarrollo Institucional</t>
  </si>
  <si>
    <t>Estatal</t>
  </si>
  <si>
    <t>Federal</t>
  </si>
  <si>
    <t>cve</t>
  </si>
  <si>
    <t>siglema</t>
  </si>
  <si>
    <t>Veracruz llave</t>
  </si>
  <si>
    <t>AGS</t>
  </si>
  <si>
    <t>BC</t>
  </si>
  <si>
    <t>BCS</t>
  </si>
  <si>
    <t>CAMP</t>
  </si>
  <si>
    <t>CHIAP</t>
  </si>
  <si>
    <t>CHIH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</si>
  <si>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</si>
  <si>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</si>
  <si>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</si>
  <si>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</si>
  <si>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</si>
  <si>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</si>
  <si>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</si>
  <si>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</si>
  <si>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</si>
  <si>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</si>
  <si>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</si>
  <si>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</si>
  <si>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PUE</t>
  </si>
  <si>
    <t>QRO</t>
  </si>
  <si>
    <t>QROO</t>
  </si>
  <si>
    <t>SLP</t>
  </si>
  <si>
    <t>SIN</t>
  </si>
  <si>
    <t>SON</t>
  </si>
  <si>
    <t>TAB</t>
  </si>
  <si>
    <t>TAMPS</t>
  </si>
  <si>
    <t>TLAX</t>
  </si>
  <si>
    <t>VER</t>
  </si>
  <si>
    <t>YUC</t>
  </si>
  <si>
    <t>ZAC</t>
  </si>
  <si>
    <t>CDMX</t>
  </si>
  <si>
    <t>OAX</t>
  </si>
  <si>
    <t>periodo</t>
  </si>
  <si>
    <t>2012-2013</t>
  </si>
  <si>
    <t>2013-2014</t>
  </si>
  <si>
    <t>2014-2015</t>
  </si>
  <si>
    <t>2015-2016</t>
  </si>
  <si>
    <t>2016-2017</t>
  </si>
  <si>
    <t>2018-2019</t>
  </si>
  <si>
    <t>egresec</t>
  </si>
  <si>
    <t>entidad</t>
  </si>
  <si>
    <t>sost</t>
  </si>
  <si>
    <t>Absorción de Egresados de Secundaria (%)</t>
  </si>
  <si>
    <t>INDICADORES DEL SISTEMA CONALEP 2012-2018</t>
  </si>
  <si>
    <t>Aprovechamiento de la capacidad instalada (%)</t>
  </si>
  <si>
    <t>Matrícula total (Alumnos)</t>
  </si>
  <si>
    <t>Cobertura en el grupo de edad de la Educación Media Superior (%)</t>
  </si>
  <si>
    <t>Atención a la demanda (%)</t>
  </si>
  <si>
    <t>talleres</t>
  </si>
  <si>
    <t>laboratorios</t>
  </si>
  <si>
    <t>inscritos</t>
  </si>
  <si>
    <t>matricula</t>
  </si>
  <si>
    <t>reinscritos</t>
  </si>
  <si>
    <t>aulas</t>
  </si>
  <si>
    <t>aspirantes</t>
  </si>
  <si>
    <t>matricula_n</t>
  </si>
  <si>
    <t>egre_n</t>
  </si>
  <si>
    <t>alu_1517</t>
  </si>
  <si>
    <t>pob_1517</t>
  </si>
  <si>
    <t>reprobados</t>
  </si>
  <si>
    <t>ni_te_5</t>
  </si>
  <si>
    <t>te_egre_5</t>
  </si>
  <si>
    <t>titulados</t>
  </si>
  <si>
    <t>egre_tit</t>
  </si>
  <si>
    <t>presuejer</t>
  </si>
  <si>
    <t>matcosto</t>
  </si>
  <si>
    <t>docentes</t>
  </si>
  <si>
    <t>becas1</t>
  </si>
  <si>
    <t>becas2</t>
  </si>
  <si>
    <t>pcedu</t>
  </si>
  <si>
    <t>pcadm</t>
  </si>
  <si>
    <t>capacitados</t>
  </si>
  <si>
    <t>becaext</t>
  </si>
  <si>
    <t>ptlsnb</t>
  </si>
  <si>
    <t>alusnb</t>
  </si>
  <si>
    <t>matbecas1</t>
  </si>
  <si>
    <t>certificacion</t>
  </si>
  <si>
    <t>servtec</t>
  </si>
  <si>
    <t>peradm</t>
  </si>
  <si>
    <t>ON</t>
  </si>
  <si>
    <t>Otro</t>
  </si>
  <si>
    <t>OTRO</t>
  </si>
  <si>
    <t>gastodoc</t>
  </si>
  <si>
    <t>gastoejercido</t>
  </si>
  <si>
    <t>presejertot</t>
  </si>
  <si>
    <t>presereptot</t>
  </si>
  <si>
    <t>presejerf</t>
  </si>
  <si>
    <t>presreprf</t>
  </si>
  <si>
    <t>presrepgc</t>
  </si>
  <si>
    <t>presrepgi</t>
  </si>
  <si>
    <t>ipejer</t>
  </si>
  <si>
    <t>ipprog</t>
  </si>
  <si>
    <t>presreppr</t>
  </si>
  <si>
    <t>gcejercido</t>
  </si>
  <si>
    <t>giejer</t>
  </si>
  <si>
    <t>presupejerip</t>
  </si>
  <si>
    <t>ipcapt</t>
  </si>
  <si>
    <t>presejerpr</t>
  </si>
  <si>
    <t>INDICADORES FINANCIEROS RAMO 11</t>
  </si>
  <si>
    <t>Costo Docente (%)</t>
  </si>
  <si>
    <t>Evolución del Presupuesto Reprogramado Total (%)</t>
  </si>
  <si>
    <t>Evolución del Presupuesto Reprogramado (%)</t>
  </si>
  <si>
    <t>Evolución del Gasto Corriente (%)</t>
  </si>
  <si>
    <t>Evolución del Gasto de Inversión (%)</t>
  </si>
  <si>
    <t>Autofinanciamiento (%)</t>
  </si>
  <si>
    <t>Captación de Ingresos Propios (%)</t>
  </si>
  <si>
    <t>Cumplimiento de Normatividad de Partidas Restringidas (%)</t>
  </si>
  <si>
    <t>Abandono Escolar (%)</t>
  </si>
  <si>
    <t>Reprobación (%)</t>
  </si>
  <si>
    <t>Costo por alumno ($)</t>
  </si>
  <si>
    <t>Alumnos becados (%)</t>
  </si>
  <si>
    <t>Cobertura de becados externos (%)</t>
  </si>
  <si>
    <t>COBERTURA EN EL GRUPO DE EDAD DE LA EDUCACIÓN MEDIA SUPERIOR (%)</t>
  </si>
  <si>
    <t>Fuente: Sistema de Administración Escolar (SAE). Dirección de Servicios Educativos
Población en el grupo de edad.- Proyección de población a mitad de año, CONAPO. Sistema de indicadores y pronósticos de la SEP</t>
  </si>
  <si>
    <t>Entidad / sostenimiento</t>
  </si>
  <si>
    <t>Promedio de COB</t>
  </si>
  <si>
    <t>Crecimiento</t>
  </si>
  <si>
    <t>ATENCIÓN A LA DEMANDA (%)</t>
  </si>
  <si>
    <t>Promedio de ATN</t>
  </si>
  <si>
    <t>ABSORCIÓN DE EGRESADOS DE SECUNDARIA (%)</t>
  </si>
  <si>
    <t>Promedio de ABS</t>
  </si>
  <si>
    <t>Suma de matricula</t>
  </si>
  <si>
    <t>Promedio de ACI</t>
  </si>
  <si>
    <t>APROVECHAMIENTO DE LA CAPACIDAD INSTALADA (%)</t>
  </si>
  <si>
    <t>ABANDONO ESCOLAR (%)</t>
  </si>
  <si>
    <t>Promedio de AE</t>
  </si>
  <si>
    <t>REPROBACIÓN (%)</t>
  </si>
  <si>
    <t>Promedio de REP</t>
  </si>
  <si>
    <t>EFICIENCIA TERMINAL (%)</t>
  </si>
  <si>
    <t>ni_et</t>
  </si>
  <si>
    <t>egre_et</t>
  </si>
  <si>
    <t>Promedio de ET</t>
  </si>
  <si>
    <t>TASA DE EGRESO (%)</t>
  </si>
  <si>
    <t>Promedio de TE</t>
  </si>
  <si>
    <t>TITULACIÓN (%)</t>
  </si>
  <si>
    <t>Promedio de TIT</t>
  </si>
  <si>
    <t>COSTO POR ALUMNO (%)</t>
  </si>
  <si>
    <t>Promedio de COSTO</t>
  </si>
  <si>
    <t>Promedio de ADOC</t>
  </si>
  <si>
    <t>Fuente: Sistema de Administración Escolar (SAE). Dirección de Servicios Educativos y Dirección de Formación Académica</t>
  </si>
  <si>
    <t>Fuente: Sistema de Administración Escolar (SAE). Dirección de Servicios Educativos/ Dirección de Administración Financiera/ Dirección de Planeación y Programación</t>
  </si>
  <si>
    <t>Promedio de BECAS</t>
  </si>
  <si>
    <t>Año (segundo semestre)</t>
  </si>
  <si>
    <t>Promedio de APC</t>
  </si>
  <si>
    <t>Suma de ADMPC</t>
  </si>
  <si>
    <t>SERVICIOS TECNOLÓGICOS (%)</t>
  </si>
  <si>
    <t>Suma de servtec</t>
  </si>
  <si>
    <t>Fuente: Dirección de Servicios Tecnológicos y Capacitación</t>
  </si>
  <si>
    <t>Fuente: Dirección Corporativa de Informática y Comunicaciones</t>
  </si>
  <si>
    <t>CERTIFICACIÓN DE COMPETENCIAS (%)</t>
  </si>
  <si>
    <t>Suma de certificacion</t>
  </si>
  <si>
    <t>Suma de capacitados</t>
  </si>
  <si>
    <t>COBERTURA DE BECADOS EXTERNOS (%)</t>
  </si>
  <si>
    <t>AÑO</t>
  </si>
  <si>
    <t>Promedio de BECEXT</t>
  </si>
  <si>
    <t>Fuente: Dirección de Vinculación Social</t>
  </si>
  <si>
    <t>ADMINISTRATIVOS POR COMPUTADORA (%)</t>
  </si>
  <si>
    <t>ALUMNOS POR COMPUTADORA (%)</t>
  </si>
  <si>
    <t>ALUMNOS POR DOCENTE (%)</t>
  </si>
  <si>
    <t>Cobertura del Padrón de Calidad del Sistema Nacional de Educación Media Superior (PC-SINEMS)</t>
  </si>
  <si>
    <t>Promedio de PCSINEMS</t>
  </si>
  <si>
    <t>Fuente: Sistema de Administración Escolar (SAE). Dirección de Servicios Educativos / Dirección de Modernización Administrativa y Calidad</t>
  </si>
  <si>
    <t>COSTO DOCENTE (%)</t>
  </si>
  <si>
    <t>Costo docente (%)</t>
  </si>
  <si>
    <t>Cifras en miles de pesos</t>
  </si>
  <si>
    <t>Gasto Ejercido en docentes</t>
  </si>
  <si>
    <t>Gasto total ejercido</t>
  </si>
  <si>
    <t>ALUMNOS BECADOS (%)</t>
  </si>
  <si>
    <t>Fuente: Sistema de Administración Escolar (SAE). Dirección de Servicios Educativos / Dirección de Infraestructura y Adquisiciones</t>
  </si>
  <si>
    <t>Información preliminar</t>
  </si>
  <si>
    <t>Fuente: Dirección de Administración Financiera</t>
  </si>
  <si>
    <t>Presupuesto Reprogramado total</t>
  </si>
  <si>
    <t>Evolución del Presupuesto Reprogramado Total</t>
  </si>
  <si>
    <t>Presupuesto
Ejercido Total</t>
  </si>
  <si>
    <t>EVOLUCIÓN DEL PRESUPUESTO REPROGRAMADO TOTAL (%)</t>
  </si>
  <si>
    <t>EVOLUCIÓN DEL PRESUPUESTO REPROGRAMADO (%)</t>
  </si>
  <si>
    <t>Presupuesto Ejercido (Recursos Fiscales)</t>
  </si>
  <si>
    <t>Evolución del Presupuesto Reprogramado
(Recursos fiscales)</t>
  </si>
  <si>
    <t>Presupuesto Reprogramado
(Recursos Fiscales)</t>
  </si>
  <si>
    <t>EVOLUCIÓN DEL GASTO CORRIENTE (%)</t>
  </si>
  <si>
    <t>Presupuesto Ejercido (Gasto Corriente)</t>
  </si>
  <si>
    <t xml:space="preserve">Evolución del Gasto Corriente </t>
  </si>
  <si>
    <t>Presupuesto Reprogramado
(Gasto Corriente)</t>
  </si>
  <si>
    <t>PERSONAS CAPACITADAS</t>
  </si>
  <si>
    <t>EVOLUCIÓN DEL GASTO DE INVERSIÓN (%)</t>
  </si>
  <si>
    <t>Presupuesto Ejercido (Gasto de Inversión)</t>
  </si>
  <si>
    <t>Evolución del Gasto de Inversión</t>
  </si>
  <si>
    <t>Presupuesto Reprogramado
(Gasto de Inversión)</t>
  </si>
  <si>
    <t>Cobertura del Padrón de Buena Calidad de la EMS (%)</t>
  </si>
  <si>
    <t>AUTOFINANCIAMIENTO (%)</t>
  </si>
  <si>
    <t>Presupuesto Ejercido Total</t>
  </si>
  <si>
    <t>Ingresos Propios ejercidos</t>
  </si>
  <si>
    <t>Índice de Autofinancimiento</t>
  </si>
  <si>
    <t>CAPTACIÓN DE INGRESOS PROPIOS (%)</t>
  </si>
  <si>
    <t>Ingresos Propios Programados</t>
  </si>
  <si>
    <t>Ingresos Propios captados</t>
  </si>
  <si>
    <t>Captación de Ingresos Propios</t>
  </si>
  <si>
    <t>CUMPLIMIENTO DE NORMATIVIDAD DE PARTIDAS RESTRINGIDAS (%)</t>
  </si>
  <si>
    <t>Presupuesto reprogramado (partidas restringidas)</t>
  </si>
  <si>
    <t>Índice de Cumplimiento de Partidas Restringidas</t>
  </si>
  <si>
    <t>Presupuesto Ejercido
(Partidas Restringidas)</t>
  </si>
  <si>
    <t>Equipo Informático de uso educativo*</t>
  </si>
  <si>
    <t>Equipo Informático de uso administrativo*</t>
  </si>
  <si>
    <t>* Información preliminar</t>
  </si>
  <si>
    <t>MATRÍCULA TOTAL</t>
  </si>
  <si>
    <t>Tasa de egreso (%)</t>
  </si>
  <si>
    <t>Titulación por generación (%)</t>
  </si>
  <si>
    <t>_ATN</t>
  </si>
  <si>
    <t>_COB</t>
  </si>
  <si>
    <t>Coordinación de Análisis Estadístico</t>
  </si>
  <si>
    <t>Entidad</t>
  </si>
  <si>
    <t>Indicador</t>
  </si>
  <si>
    <t>Prom.</t>
  </si>
  <si>
    <t>Eficiencia Terminal (%)</t>
  </si>
  <si>
    <t>Equipo Informático de uso educativo</t>
  </si>
  <si>
    <t>Equipo Informático de uso administrativo</t>
  </si>
  <si>
    <t>Cobertura del Sistema Nacional de Bachillerado (%)</t>
  </si>
  <si>
    <t>_ABS</t>
  </si>
  <si>
    <t>_ACI</t>
  </si>
  <si>
    <t>_AE</t>
  </si>
  <si>
    <t>_REP</t>
  </si>
  <si>
    <t>_TE</t>
  </si>
  <si>
    <t>_ET</t>
  </si>
  <si>
    <t>_TIT</t>
  </si>
  <si>
    <t>_COSTO</t>
  </si>
  <si>
    <t>_MAT</t>
  </si>
  <si>
    <t>_ADOC</t>
  </si>
  <si>
    <t>_BECAS</t>
  </si>
  <si>
    <t>_APC</t>
  </si>
  <si>
    <t>_ADMPC</t>
  </si>
  <si>
    <t>_CAP</t>
  </si>
  <si>
    <t>_SERVTEC</t>
  </si>
  <si>
    <t>_CERTIFIC</t>
  </si>
  <si>
    <t>_BECEXT</t>
  </si>
  <si>
    <t>_PCSINEMS</t>
  </si>
  <si>
    <t>Alumnos becados (segundo semestre) (%)</t>
  </si>
  <si>
    <t>Personas Capacitadas (personas)</t>
  </si>
  <si>
    <t>Servicios Tecnológicos Proporcionados (servicios)</t>
  </si>
  <si>
    <t>Certificación de competencias (personas)</t>
  </si>
  <si>
    <t>2012</t>
  </si>
  <si>
    <t>2013</t>
  </si>
  <si>
    <t>2014</t>
  </si>
  <si>
    <t>2015</t>
  </si>
  <si>
    <t>2016</t>
  </si>
  <si>
    <t>2017</t>
  </si>
  <si>
    <t>2018</t>
  </si>
  <si>
    <t>Indicadores de Gestión. 2012-2018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</si>
</sst>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&quot;$&quot;* #,##0.0_-;\-&quot;$&quot;* #,##0.0_-;_-&quot;$&quot;* &quot;-&quot;?_-;_-@_-"/>
    <numFmt numFmtId="168" formatCode="0.0_ ;\-0.0\ "/>
    <numFmt numFmtId="169" formatCode="&quot;$&quot;#,##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Montserrat"/>
    </font>
    <font>
      <b/>
      <sz val="10"/>
      <name val="Montserrat"/>
    </font>
    <font>
      <sz val="10"/>
      <name val="Montserrat"/>
    </font>
    <font>
      <sz val="11"/>
      <name val="Montserrat"/>
    </font>
    <font>
      <sz val="12"/>
      <name val="Montserrat"/>
    </font>
    <font>
      <sz val="11"/>
      <color theme="1"/>
      <name val="Montserrat"/>
    </font>
    <font>
      <b/>
      <sz val="10"/>
      <color theme="1"/>
      <name val="Montserrat"/>
    </font>
    <font>
      <sz val="12"/>
      <color theme="1"/>
      <name val="Montserrat"/>
    </font>
    <font>
      <sz val="12"/>
      <color indexed="8"/>
      <name val="Montserrat"/>
    </font>
    <font>
      <b/>
      <sz val="8"/>
      <color indexed="8"/>
      <name val="Montserrat"/>
    </font>
    <font>
      <b/>
      <sz val="8"/>
      <color theme="1"/>
      <name val="Montserrat"/>
    </font>
    <font>
      <b/>
      <sz val="7"/>
      <name val="Montserrat"/>
    </font>
    <font>
      <sz val="8"/>
      <name val="Montserrat"/>
    </font>
    <font>
      <sz val="8"/>
      <color theme="1"/>
      <name val="Montserrat"/>
    </font>
    <font>
      <sz val="8"/>
      <color indexed="8"/>
      <name val="Montserrat"/>
    </font>
    <font>
      <i/>
      <sz val="10"/>
      <color indexed="57"/>
      <name val="Montserrat"/>
    </font>
    <font>
      <i/>
      <sz val="11"/>
      <name val="Montserrat"/>
    </font>
    <font>
      <sz val="7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8"/>
      <name val="Montserrat"/>
    </font>
    <font>
      <sz val="8"/>
      <name val="Montserrat ExtraBold"/>
    </font>
    <font>
      <sz val="9"/>
      <color indexed="8"/>
      <name val="Montserrat"/>
    </font>
    <font>
      <b/>
      <sz val="9"/>
      <color theme="1"/>
      <name val="Calibri"/>
      <family val="2"/>
      <scheme val="minor"/>
    </font>
    <font>
      <b/>
      <sz val="9"/>
      <color indexed="8"/>
      <name val="Montserrat"/>
    </font>
    <font>
      <sz val="9"/>
      <color theme="0"/>
      <name val="Montserrat"/>
    </font>
    <font>
      <sz val="6"/>
      <color theme="1"/>
      <name val="Montserrat"/>
    </font>
    <font>
      <b/>
      <sz val="9"/>
      <color theme="0"/>
      <name val="Montserrat"/>
    </font>
    <font>
      <sz val="10"/>
      <color theme="1"/>
      <name val="Montserrat"/>
    </font>
    <font>
      <sz val="9"/>
      <color theme="0" tint="-0.14999847407452621"/>
      <name val="Montserrat"/>
    </font>
    <font>
      <b/>
      <sz val="9"/>
      <color theme="0" tint="-0.14999847407452621"/>
      <name val="Montserrat"/>
    </font>
    <font>
      <sz val="10"/>
      <color theme="1"/>
      <name val="Calibri"/>
      <family val="2"/>
      <scheme val="minor"/>
    </font>
    <font>
      <i/>
      <sz val="6"/>
      <color theme="1"/>
      <name val="Montserrat"/>
    </font>
    <font>
      <sz val="9"/>
      <name val="Montserrat"/>
    </font>
    <font>
      <b/>
      <sz val="9"/>
      <name val="Montserrat"/>
    </font>
    <font>
      <sz val="8"/>
      <color theme="1"/>
      <name val="Calibri"/>
      <family val="2"/>
      <scheme val="minor"/>
    </font>
    <font>
      <sz val="7"/>
      <color theme="1"/>
      <name val="Montserrat"/>
    </font>
    <font>
      <i/>
      <sz val="10"/>
      <name val="Montserrat"/>
    </font>
    <font>
      <b/>
      <sz val="14"/>
      <name val="Montserrat"/>
    </font>
    <font>
      <b/>
      <sz val="11"/>
      <name val="Montserrat ExtraBold"/>
    </font>
    <font>
      <sz val="10"/>
      <name val="Montserrat SemiBold"/>
    </font>
    <font>
      <b/>
      <sz val="10"/>
      <name val="Montserrat SemiBold"/>
    </font>
    <font>
      <i/>
      <sz val="10"/>
      <color indexed="57"/>
      <name val="Montserrat SemiBold"/>
    </font>
  </fonts>
  <fills count="1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0" tint="-0.499984740745262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0" fillId="0" borderId="0" xfId="0"/>
    <xf numFmtId="0" fontId="9" fillId="0" borderId="0" xfId="2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20" fillId="0" borderId="0" xfId="3" applyFont="1" applyAlignment="1">
      <alignment horizontal="right"/>
    </xf>
    <xf numFmtId="0" fontId="11" fillId="0" borderId="0" xfId="3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 applyProtection="1">
      <alignment horizontal="center" vertical="top" wrapText="1"/>
      <protection locked="0"/>
    </xf>
    <xf numFmtId="0" fontId="18" fillId="8" borderId="1" xfId="0" applyFont="1" applyFill="1" applyBorder="1" applyAlignment="1" applyProtection="1">
      <alignment horizontal="center" vertical="center" wrapText="1"/>
    </xf>
    <xf numFmtId="3" fontId="23" fillId="3" borderId="1" xfId="0" applyNumberFormat="1" applyFont="1" applyFill="1" applyBorder="1" applyAlignment="1" applyProtection="1">
      <alignment horizontal="center"/>
    </xf>
    <xf numFmtId="3" fontId="23" fillId="6" borderId="1" xfId="0" applyNumberFormat="1" applyFont="1" applyFill="1" applyBorder="1" applyAlignment="1" applyProtection="1">
      <alignment horizontal="center"/>
    </xf>
    <xf numFmtId="3" fontId="23" fillId="14" borderId="1" xfId="0" applyNumberFormat="1" applyFont="1" applyFill="1" applyBorder="1" applyAlignment="1" applyProtection="1">
      <alignment horizontal="center"/>
    </xf>
    <xf numFmtId="0" fontId="24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Fill="1"/>
    <xf numFmtId="0" fontId="12" fillId="0" borderId="0" xfId="3" applyFont="1"/>
    <xf numFmtId="0" fontId="25" fillId="0" borderId="0" xfId="3" applyFont="1" applyAlignment="1">
      <alignment vertical="center"/>
    </xf>
    <xf numFmtId="0" fontId="10" fillId="8" borderId="1" xfId="2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vertical="center" wrapText="1"/>
    </xf>
    <xf numFmtId="0" fontId="26" fillId="0" borderId="4" xfId="5" applyFont="1" applyFill="1" applyBorder="1" applyAlignment="1">
      <alignment vertical="center" wrapText="1"/>
    </xf>
    <xf numFmtId="0" fontId="26" fillId="6" borderId="3" xfId="6" applyFont="1" applyFill="1" applyBorder="1" applyAlignment="1">
      <alignment vertical="center" wrapText="1"/>
    </xf>
    <xf numFmtId="0" fontId="26" fillId="0" borderId="0" xfId="5" applyFont="1" applyFill="1" applyBorder="1" applyAlignment="1">
      <alignment vertical="center"/>
    </xf>
    <xf numFmtId="0" fontId="26" fillId="0" borderId="0" xfId="5" applyFont="1" applyFill="1" applyBorder="1" applyAlignment="1">
      <alignment vertical="center" wrapText="1"/>
    </xf>
    <xf numFmtId="164" fontId="26" fillId="0" borderId="0" xfId="5" applyNumberFormat="1" applyFont="1" applyFill="1" applyBorder="1" applyAlignment="1">
      <alignment horizontal="center" vertical="center"/>
    </xf>
    <xf numFmtId="166" fontId="26" fillId="0" borderId="0" xfId="1" applyNumberFormat="1" applyFont="1" applyFill="1" applyBorder="1" applyAlignment="1">
      <alignment vertical="center"/>
    </xf>
    <xf numFmtId="3" fontId="26" fillId="0" borderId="0" xfId="5" applyNumberFormat="1" applyFont="1" applyFill="1" applyBorder="1" applyAlignment="1">
      <alignment vertical="center"/>
    </xf>
    <xf numFmtId="0" fontId="26" fillId="0" borderId="1" xfId="6" applyFont="1" applyFill="1" applyBorder="1" applyAlignment="1">
      <alignment horizontal="center" vertical="center"/>
    </xf>
    <xf numFmtId="0" fontId="26" fillId="0" borderId="1" xfId="6" applyFont="1" applyFill="1" applyBorder="1" applyAlignment="1">
      <alignment horizontal="left" vertical="center" wrapText="1"/>
    </xf>
    <xf numFmtId="0" fontId="26" fillId="6" borderId="1" xfId="5" applyFont="1" applyFill="1" applyBorder="1" applyAlignment="1">
      <alignment horizontal="center" vertical="center"/>
    </xf>
    <xf numFmtId="0" fontId="26" fillId="6" borderId="1" xfId="5" applyFont="1" applyFill="1" applyBorder="1" applyAlignment="1">
      <alignment horizontal="left" vertical="center" wrapText="1"/>
    </xf>
    <xf numFmtId="3" fontId="23" fillId="12" borderId="1" xfId="0" applyNumberFormat="1" applyFont="1" applyFill="1" applyBorder="1" applyAlignment="1" applyProtection="1">
      <alignment horizontal="center" vertical="center" wrapText="1"/>
    </xf>
    <xf numFmtId="3" fontId="23" fillId="13" borderId="1" xfId="0" applyNumberFormat="1" applyFont="1" applyFill="1" applyBorder="1" applyAlignment="1" applyProtection="1">
      <alignment horizontal="center" vertical="center" wrapText="1"/>
    </xf>
    <xf numFmtId="3" fontId="19" fillId="8" borderId="1" xfId="0" applyNumberFormat="1" applyFont="1" applyFill="1" applyBorder="1" applyAlignment="1" applyProtection="1">
      <alignment horizontal="center" vertical="center" wrapText="1"/>
    </xf>
    <xf numFmtId="0" fontId="22" fillId="12" borderId="1" xfId="0" applyFont="1" applyFill="1" applyBorder="1" applyProtection="1"/>
    <xf numFmtId="0" fontId="22" fillId="12" borderId="1" xfId="0" applyFont="1" applyFill="1" applyBorder="1" applyAlignment="1" applyProtection="1">
      <alignment horizontal="center"/>
    </xf>
    <xf numFmtId="0" fontId="22" fillId="11" borderId="1" xfId="0" applyFont="1" applyFill="1" applyBorder="1" applyProtection="1"/>
    <xf numFmtId="0" fontId="22" fillId="11" borderId="1" xfId="0" applyFont="1" applyFill="1" applyBorder="1" applyAlignment="1" applyProtection="1">
      <alignment horizontal="center"/>
    </xf>
    <xf numFmtId="3" fontId="23" fillId="11" borderId="1" xfId="0" applyNumberFormat="1" applyFont="1" applyFill="1" applyBorder="1" applyAlignment="1" applyProtection="1">
      <alignment horizontal="center" vertical="center" wrapText="1"/>
    </xf>
    <xf numFmtId="0" fontId="22" fillId="13" borderId="1" xfId="0" applyFont="1" applyFill="1" applyBorder="1" applyProtection="1"/>
    <xf numFmtId="0" fontId="22" fillId="13" borderId="1" xfId="0" applyFont="1" applyFill="1" applyBorder="1" applyAlignment="1" applyProtection="1">
      <alignment horizontal="center"/>
    </xf>
    <xf numFmtId="0" fontId="22" fillId="3" borderId="1" xfId="0" applyFont="1" applyFill="1" applyBorder="1" applyProtection="1"/>
    <xf numFmtId="0" fontId="22" fillId="3" borderId="1" xfId="0" applyFont="1" applyFill="1" applyBorder="1" applyAlignment="1" applyProtection="1">
      <alignment horizontal="center"/>
    </xf>
    <xf numFmtId="0" fontId="22" fillId="6" borderId="1" xfId="0" applyFont="1" applyFill="1" applyBorder="1" applyProtection="1"/>
    <xf numFmtId="0" fontId="22" fillId="6" borderId="1" xfId="0" applyFont="1" applyFill="1" applyBorder="1" applyAlignment="1" applyProtection="1">
      <alignment horizontal="center"/>
    </xf>
    <xf numFmtId="0" fontId="22" fillId="14" borderId="1" xfId="0" applyFont="1" applyFill="1" applyBorder="1" applyProtection="1"/>
    <xf numFmtId="0" fontId="22" fillId="14" borderId="1" xfId="0" applyFont="1" applyFill="1" applyBorder="1" applyAlignment="1" applyProtection="1">
      <alignment horizontal="center"/>
    </xf>
    <xf numFmtId="0" fontId="22" fillId="7" borderId="1" xfId="0" applyFont="1" applyFill="1" applyBorder="1" applyProtection="1"/>
    <xf numFmtId="0" fontId="22" fillId="7" borderId="1" xfId="0" applyFont="1" applyFill="1" applyBorder="1" applyAlignment="1" applyProtection="1">
      <alignment horizontal="center"/>
    </xf>
    <xf numFmtId="3" fontId="22" fillId="7" borderId="1" xfId="0" applyNumberFormat="1" applyFont="1" applyFill="1" applyBorder="1" applyAlignment="1" applyProtection="1">
      <alignment horizontal="center"/>
    </xf>
    <xf numFmtId="0" fontId="22" fillId="7" borderId="1" xfId="0" applyNumberFormat="1" applyFont="1" applyFill="1" applyBorder="1" applyAlignment="1" applyProtection="1">
      <alignment horizontal="center"/>
    </xf>
    <xf numFmtId="0" fontId="27" fillId="0" borderId="0" xfId="0" pivotButton="1" applyFont="1"/>
    <xf numFmtId="0" fontId="27" fillId="0" borderId="0" xfId="0" applyFont="1"/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7" fillId="0" borderId="0" xfId="0" applyFont="1" applyAlignment="1">
      <alignment horizontal="left" indent="1"/>
    </xf>
    <xf numFmtId="3" fontId="27" fillId="0" borderId="8" xfId="0" applyNumberFormat="1" applyFont="1" applyBorder="1"/>
    <xf numFmtId="0" fontId="9" fillId="8" borderId="5" xfId="2" applyFont="1" applyFill="1" applyBorder="1" applyAlignment="1">
      <alignment horizontal="centerContinuous" vertical="center" wrapText="1"/>
    </xf>
    <xf numFmtId="0" fontId="9" fillId="8" borderId="6" xfId="2" applyFont="1" applyFill="1" applyBorder="1" applyAlignment="1">
      <alignment horizontal="centerContinuous" vertical="center" wrapText="1"/>
    </xf>
    <xf numFmtId="0" fontId="9" fillId="8" borderId="7" xfId="2" applyFont="1" applyFill="1" applyBorder="1" applyAlignment="1">
      <alignment horizontal="centerContinuous" vertical="center" wrapText="1"/>
    </xf>
    <xf numFmtId="0" fontId="10" fillId="8" borderId="6" xfId="2" applyFont="1" applyFill="1" applyBorder="1" applyAlignment="1">
      <alignment vertical="center" wrapText="1"/>
    </xf>
    <xf numFmtId="0" fontId="10" fillId="8" borderId="7" xfId="2" applyFont="1" applyFill="1" applyBorder="1" applyAlignment="1">
      <alignment vertical="center" wrapText="1"/>
    </xf>
    <xf numFmtId="0" fontId="29" fillId="8" borderId="5" xfId="2" applyFont="1" applyFill="1" applyBorder="1" applyAlignment="1">
      <alignment vertical="center"/>
    </xf>
    <xf numFmtId="0" fontId="26" fillId="0" borderId="1" xfId="5" applyFont="1" applyFill="1" applyBorder="1" applyAlignment="1">
      <alignment horizontal="justify" vertical="center" wrapText="1"/>
    </xf>
    <xf numFmtId="0" fontId="26" fillId="0" borderId="2" xfId="5" applyFont="1" applyFill="1" applyBorder="1" applyAlignment="1">
      <alignment horizontal="left" vertical="center" wrapText="1"/>
    </xf>
    <xf numFmtId="0" fontId="26" fillId="9" borderId="1" xfId="6" applyFont="1" applyFill="1" applyBorder="1" applyAlignment="1">
      <alignment vertical="center" wrapText="1"/>
    </xf>
    <xf numFmtId="0" fontId="26" fillId="9" borderId="1" xfId="5" applyFont="1" applyFill="1" applyBorder="1" applyAlignment="1">
      <alignment vertical="center" wrapText="1"/>
    </xf>
    <xf numFmtId="0" fontId="26" fillId="9" borderId="1" xfId="5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0" fillId="0" borderId="0" xfId="3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/>
    <xf numFmtId="2" fontId="14" fillId="0" borderId="0" xfId="0" applyNumberFormat="1" applyFont="1" applyFill="1" applyAlignment="1">
      <alignment horizontal="center"/>
    </xf>
    <xf numFmtId="2" fontId="0" fillId="0" borderId="0" xfId="0" applyNumberFormat="1" applyFont="1"/>
    <xf numFmtId="0" fontId="17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" fontId="27" fillId="0" borderId="0" xfId="0" applyNumberFormat="1" applyFont="1"/>
    <xf numFmtId="2" fontId="27" fillId="0" borderId="0" xfId="0" applyNumberFormat="1" applyFont="1"/>
    <xf numFmtId="164" fontId="27" fillId="0" borderId="0" xfId="0" applyNumberFormat="1" applyFont="1"/>
    <xf numFmtId="0" fontId="33" fillId="1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/>
    <xf numFmtId="0" fontId="15" fillId="10" borderId="0" xfId="2" applyFont="1" applyFill="1" applyBorder="1" applyAlignment="1">
      <alignment horizontal="centerContinuous" vertical="center" readingOrder="1"/>
    </xf>
    <xf numFmtId="0" fontId="7" fillId="10" borderId="0" xfId="2" applyFont="1" applyFill="1" applyBorder="1" applyAlignment="1">
      <alignment horizontal="centerContinuous" vertical="center" readingOrder="1"/>
    </xf>
    <xf numFmtId="0" fontId="32" fillId="0" borderId="0" xfId="0" applyFont="1" applyAlignment="1">
      <alignment horizontal="center"/>
    </xf>
    <xf numFmtId="2" fontId="28" fillId="0" borderId="0" xfId="0" applyNumberFormat="1" applyFont="1"/>
    <xf numFmtId="0" fontId="34" fillId="0" borderId="0" xfId="0" pivotButton="1" applyFont="1"/>
    <xf numFmtId="0" fontId="27" fillId="0" borderId="9" xfId="0" applyFont="1" applyBorder="1" applyAlignment="1">
      <alignment horizontal="right"/>
    </xf>
    <xf numFmtId="2" fontId="28" fillId="0" borderId="8" xfId="0" applyNumberFormat="1" applyFont="1" applyBorder="1"/>
    <xf numFmtId="2" fontId="27" fillId="0" borderId="8" xfId="0" applyNumberFormat="1" applyFont="1" applyBorder="1"/>
    <xf numFmtId="2" fontId="28" fillId="0" borderId="10" xfId="0" applyNumberFormat="1" applyFont="1" applyBorder="1"/>
    <xf numFmtId="0" fontId="35" fillId="0" borderId="0" xfId="0" applyFont="1" applyAlignment="1">
      <alignment horizontal="centerContinuous" wrapText="1"/>
    </xf>
    <xf numFmtId="0" fontId="35" fillId="0" borderId="0" xfId="0" applyFont="1" applyAlignment="1">
      <alignment horizontal="centerContinuous"/>
    </xf>
    <xf numFmtId="4" fontId="28" fillId="0" borderId="0" xfId="0" applyNumberFormat="1" applyFont="1"/>
    <xf numFmtId="3" fontId="28" fillId="0" borderId="0" xfId="0" applyNumberFormat="1" applyFont="1"/>
    <xf numFmtId="0" fontId="21" fillId="0" borderId="2" xfId="5" applyFont="1" applyFill="1" applyBorder="1" applyAlignment="1">
      <alignment horizontal="center" vertical="center"/>
    </xf>
    <xf numFmtId="0" fontId="21" fillId="9" borderId="1" xfId="5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center" vertical="center"/>
    </xf>
    <xf numFmtId="0" fontId="21" fillId="6" borderId="1" xfId="6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21" fillId="0" borderId="4" xfId="5" applyFont="1" applyFill="1" applyBorder="1" applyAlignment="1">
      <alignment horizontal="center" vertical="center"/>
    </xf>
    <xf numFmtId="0" fontId="21" fillId="6" borderId="3" xfId="6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/>
    </xf>
    <xf numFmtId="3" fontId="28" fillId="0" borderId="10" xfId="0" applyNumberFormat="1" applyFont="1" applyBorder="1"/>
    <xf numFmtId="3" fontId="28" fillId="0" borderId="8" xfId="0" applyNumberFormat="1" applyFont="1" applyBorder="1"/>
    <xf numFmtId="2" fontId="21" fillId="0" borderId="2" xfId="1" applyNumberFormat="1" applyFont="1" applyFill="1" applyBorder="1" applyAlignment="1">
      <alignment horizontal="right" vertical="center"/>
    </xf>
    <xf numFmtId="2" fontId="21" fillId="9" borderId="1" xfId="1" applyNumberFormat="1" applyFont="1" applyFill="1" applyBorder="1" applyAlignment="1">
      <alignment horizontal="right" vertical="center"/>
    </xf>
    <xf numFmtId="2" fontId="21" fillId="9" borderId="1" xfId="5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center" vertical="center"/>
    </xf>
    <xf numFmtId="165" fontId="21" fillId="9" borderId="1" xfId="1" applyNumberFormat="1" applyFont="1" applyFill="1" applyBorder="1" applyAlignment="1">
      <alignment horizontal="right" vertical="center"/>
    </xf>
    <xf numFmtId="165" fontId="21" fillId="9" borderId="1" xfId="5" applyNumberFormat="1" applyFont="1" applyFill="1" applyBorder="1" applyAlignment="1">
      <alignment horizontal="right" vertical="center"/>
    </xf>
    <xf numFmtId="164" fontId="28" fillId="0" borderId="10" xfId="0" applyNumberFormat="1" applyFont="1" applyBorder="1"/>
    <xf numFmtId="164" fontId="27" fillId="0" borderId="8" xfId="0" applyNumberFormat="1" applyFont="1" applyBorder="1"/>
    <xf numFmtId="164" fontId="28" fillId="0" borderId="8" xfId="0" applyNumberFormat="1" applyFont="1" applyBorder="1"/>
    <xf numFmtId="0" fontId="20" fillId="8" borderId="5" xfId="2" applyFont="1" applyFill="1" applyBorder="1" applyAlignment="1">
      <alignment vertical="center"/>
    </xf>
    <xf numFmtId="0" fontId="20" fillId="8" borderId="6" xfId="2" applyFont="1" applyFill="1" applyBorder="1" applyAlignment="1">
      <alignment vertical="center"/>
    </xf>
    <xf numFmtId="0" fontId="20" fillId="8" borderId="7" xfId="2" applyFont="1" applyFill="1" applyBorder="1" applyAlignment="1">
      <alignment vertical="center"/>
    </xf>
    <xf numFmtId="3" fontId="21" fillId="0" borderId="1" xfId="1" applyNumberFormat="1" applyFont="1" applyFill="1" applyBorder="1" applyAlignment="1">
      <alignment horizontal="right" vertical="center"/>
    </xf>
    <xf numFmtId="2" fontId="21" fillId="0" borderId="1" xfId="1" applyNumberFormat="1" applyFont="1" applyFill="1" applyBorder="1" applyAlignment="1">
      <alignment horizontal="right" vertical="center"/>
    </xf>
    <xf numFmtId="2" fontId="21" fillId="0" borderId="1" xfId="5" applyNumberFormat="1" applyFont="1" applyFill="1" applyBorder="1" applyAlignment="1">
      <alignment horizontal="right" vertical="center"/>
    </xf>
    <xf numFmtId="165" fontId="21" fillId="0" borderId="1" xfId="1" applyNumberFormat="1" applyFont="1" applyFill="1" applyBorder="1" applyAlignment="1">
      <alignment horizontal="right" vertical="center"/>
    </xf>
    <xf numFmtId="165" fontId="21" fillId="0" borderId="1" xfId="5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2" fontId="31" fillId="0" borderId="0" xfId="0" applyNumberFormat="1" applyFont="1" applyFill="1" applyAlignment="1">
      <alignment horizontal="center" vertical="center"/>
    </xf>
    <xf numFmtId="1" fontId="27" fillId="0" borderId="0" xfId="0" applyNumberFormat="1" applyFont="1"/>
    <xf numFmtId="165" fontId="33" fillId="0" borderId="0" xfId="0" applyNumberFormat="1" applyFont="1" applyFill="1" applyBorder="1" applyAlignment="1">
      <alignment horizontal="right" vertical="center"/>
    </xf>
    <xf numFmtId="165" fontId="28" fillId="0" borderId="10" xfId="0" applyNumberFormat="1" applyFont="1" applyBorder="1"/>
    <xf numFmtId="165" fontId="27" fillId="0" borderId="8" xfId="0" applyNumberFormat="1" applyFont="1" applyBorder="1"/>
    <xf numFmtId="165" fontId="28" fillId="0" borderId="8" xfId="0" applyNumberFormat="1" applyFont="1" applyBorder="1"/>
    <xf numFmtId="0" fontId="19" fillId="0" borderId="0" xfId="0" applyFont="1" applyAlignment="1">
      <alignment horizontal="center"/>
    </xf>
    <xf numFmtId="0" fontId="27" fillId="0" borderId="0" xfId="0" applyNumberFormat="1" applyFont="1"/>
    <xf numFmtId="0" fontId="37" fillId="0" borderId="0" xfId="0" applyFont="1" applyAlignment="1">
      <alignment horizontal="left"/>
    </xf>
    <xf numFmtId="0" fontId="34" fillId="0" borderId="0" xfId="0" applyFont="1"/>
    <xf numFmtId="3" fontId="38" fillId="0" borderId="0" xfId="0" applyNumberFormat="1" applyFont="1"/>
    <xf numFmtId="3" fontId="34" fillId="0" borderId="0" xfId="0" applyNumberFormat="1" applyFont="1"/>
    <xf numFmtId="3" fontId="36" fillId="0" borderId="0" xfId="0" applyNumberFormat="1" applyFont="1"/>
    <xf numFmtId="0" fontId="19" fillId="10" borderId="0" xfId="2" applyFont="1" applyFill="1" applyBorder="1" applyAlignment="1">
      <alignment horizontal="centerContinuous" vertical="center" readingOrder="1"/>
    </xf>
    <xf numFmtId="0" fontId="38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/>
    <xf numFmtId="164" fontId="34" fillId="0" borderId="0" xfId="0" applyNumberFormat="1" applyFont="1"/>
    <xf numFmtId="164" fontId="36" fillId="0" borderId="0" xfId="0" applyNumberFormat="1" applyFont="1"/>
    <xf numFmtId="165" fontId="37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/>
    <xf numFmtId="165" fontId="15" fillId="0" borderId="0" xfId="0" applyNumberFormat="1" applyFont="1"/>
    <xf numFmtId="0" fontId="8" fillId="0" borderId="0" xfId="0" applyFont="1"/>
    <xf numFmtId="0" fontId="19" fillId="0" borderId="0" xfId="0" applyFont="1"/>
    <xf numFmtId="167" fontId="37" fillId="0" borderId="0" xfId="0" applyNumberFormat="1" applyFont="1"/>
    <xf numFmtId="165" fontId="15" fillId="10" borderId="0" xfId="0" applyNumberFormat="1" applyFont="1" applyFill="1"/>
    <xf numFmtId="0" fontId="15" fillId="1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168" fontId="37" fillId="0" borderId="0" xfId="0" applyNumberFormat="1" applyFont="1"/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pivotButton="1" applyFont="1" applyAlignment="1">
      <alignment horizontal="center" vertical="center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 wrapText="1"/>
    </xf>
    <xf numFmtId="164" fontId="37" fillId="0" borderId="0" xfId="0" applyNumberFormat="1" applyFont="1"/>
    <xf numFmtId="0" fontId="27" fillId="0" borderId="0" xfId="0" pivotButton="1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3" fontId="43" fillId="0" borderId="0" xfId="0" applyNumberFormat="1" applyFont="1"/>
    <xf numFmtId="0" fontId="26" fillId="0" borderId="0" xfId="3" applyFont="1"/>
    <xf numFmtId="0" fontId="22" fillId="0" borderId="0" xfId="0" pivotButton="1" applyFont="1"/>
    <xf numFmtId="0" fontId="44" fillId="0" borderId="0" xfId="0" applyFont="1"/>
    <xf numFmtId="0" fontId="22" fillId="0" borderId="0" xfId="0" pivotButton="1" applyFont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/>
    <xf numFmtId="4" fontId="22" fillId="0" borderId="0" xfId="0" applyNumberFormat="1" applyFont="1"/>
    <xf numFmtId="3" fontId="22" fillId="0" borderId="0" xfId="0" applyNumberFormat="1" applyFont="1"/>
    <xf numFmtId="164" fontId="22" fillId="0" borderId="0" xfId="0" applyNumberFormat="1" applyFont="1"/>
    <xf numFmtId="169" fontId="22" fillId="0" borderId="0" xfId="0" applyNumberFormat="1" applyFont="1"/>
    <xf numFmtId="0" fontId="22" fillId="0" borderId="0" xfId="0" applyFont="1" applyAlignment="1">
      <alignment horizontal="centerContinuous" wrapText="1"/>
    </xf>
    <xf numFmtId="0" fontId="22" fillId="0" borderId="0" xfId="0" applyFont="1" applyAlignment="1">
      <alignment horizontal="centerContinuous"/>
    </xf>
    <xf numFmtId="0" fontId="45" fillId="0" borderId="0" xfId="0" applyFont="1" applyAlignment="1">
      <alignment horizontal="center" vertical="center"/>
    </xf>
    <xf numFmtId="165" fontId="22" fillId="0" borderId="0" xfId="0" applyNumberFormat="1" applyFont="1"/>
    <xf numFmtId="1" fontId="22" fillId="0" borderId="0" xfId="0" applyNumberFormat="1" applyFont="1"/>
    <xf numFmtId="0" fontId="46" fillId="0" borderId="0" xfId="3" applyFont="1" applyAlignment="1">
      <alignment horizontal="right"/>
    </xf>
    <xf numFmtId="0" fontId="46" fillId="0" borderId="0" xfId="3" applyFont="1" applyFill="1" applyAlignment="1">
      <alignment horizontal="right"/>
    </xf>
    <xf numFmtId="0" fontId="11" fillId="0" borderId="0" xfId="3" applyFont="1" applyFill="1" applyAlignment="1">
      <alignment vertical="center"/>
    </xf>
    <xf numFmtId="164" fontId="11" fillId="0" borderId="0" xfId="3" applyNumberFormat="1" applyFont="1" applyFill="1"/>
    <xf numFmtId="3" fontId="15" fillId="0" borderId="0" xfId="0" applyNumberFormat="1" applyFont="1" applyFill="1"/>
    <xf numFmtId="0" fontId="11" fillId="0" borderId="0" xfId="3" applyFont="1" applyAlignment="1">
      <alignment horizontal="center"/>
    </xf>
    <xf numFmtId="0" fontId="46" fillId="0" borderId="0" xfId="3" applyFont="1" applyAlignment="1">
      <alignment vertical="center"/>
    </xf>
    <xf numFmtId="0" fontId="46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48" fillId="0" borderId="0" xfId="3" applyFont="1" applyAlignment="1">
      <alignment horizontal="right" vertical="center"/>
    </xf>
    <xf numFmtId="0" fontId="42" fillId="0" borderId="0" xfId="3" applyFont="1" applyAlignment="1">
      <alignment horizontal="right" vertical="center"/>
    </xf>
    <xf numFmtId="0" fontId="49" fillId="8" borderId="0" xfId="3" applyFont="1" applyFill="1" applyBorder="1" applyAlignment="1">
      <alignment horizontal="right"/>
    </xf>
    <xf numFmtId="0" fontId="50" fillId="8" borderId="0" xfId="3" applyFont="1" applyFill="1" applyBorder="1" applyAlignment="1">
      <alignment horizontal="center" vertical="center"/>
    </xf>
    <xf numFmtId="0" fontId="51" fillId="0" borderId="0" xfId="3" applyFont="1" applyAlignment="1">
      <alignment horizontal="center" vertical="center"/>
    </xf>
    <xf numFmtId="0" fontId="49" fillId="0" borderId="0" xfId="3" applyFont="1" applyAlignment="1">
      <alignment vertical="center"/>
    </xf>
    <xf numFmtId="0" fontId="49" fillId="0" borderId="0" xfId="3" applyFont="1" applyAlignment="1">
      <alignment horizontal="center" vertical="center"/>
    </xf>
    <xf numFmtId="0" fontId="50" fillId="0" borderId="0" xfId="2" applyFont="1" applyFill="1" applyBorder="1" applyAlignment="1">
      <alignment horizontal="center" vertical="center" wrapText="1"/>
    </xf>
    <xf numFmtId="0" fontId="49" fillId="0" borderId="0" xfId="5" applyFont="1" applyFill="1" applyBorder="1" applyAlignment="1">
      <alignment horizontal="center" vertical="center"/>
    </xf>
    <xf numFmtId="0" fontId="49" fillId="0" borderId="0" xfId="5" applyFont="1" applyFill="1" applyBorder="1" applyAlignment="1">
      <alignment vertical="center" wrapText="1"/>
    </xf>
    <xf numFmtId="2" fontId="49" fillId="0" borderId="0" xfId="5" applyNumberFormat="1" applyFont="1" applyFill="1" applyBorder="1" applyAlignment="1">
      <alignment horizontal="center" vertical="center" wrapText="1"/>
    </xf>
    <xf numFmtId="164" fontId="49" fillId="0" borderId="0" xfId="5" applyNumberFormat="1" applyFont="1" applyFill="1" applyBorder="1" applyAlignment="1">
      <alignment horizontal="center" vertical="center" wrapText="1"/>
    </xf>
    <xf numFmtId="164" fontId="49" fillId="0" borderId="0" xfId="1" applyNumberFormat="1" applyFont="1" applyFill="1" applyBorder="1" applyAlignment="1">
      <alignment horizontal="center" vertical="center"/>
    </xf>
    <xf numFmtId="0" fontId="49" fillId="0" borderId="0" xfId="6" applyFont="1" applyFill="1" applyBorder="1" applyAlignment="1">
      <alignment horizontal="center" vertical="center"/>
    </xf>
    <xf numFmtId="0" fontId="49" fillId="0" borderId="0" xfId="6" applyFont="1" applyFill="1" applyBorder="1" applyAlignment="1">
      <alignment vertical="center" wrapText="1"/>
    </xf>
    <xf numFmtId="3" fontId="49" fillId="0" borderId="0" xfId="6" applyNumberFormat="1" applyFont="1" applyFill="1" applyBorder="1" applyAlignment="1">
      <alignment horizontal="center" vertical="center" wrapText="1"/>
    </xf>
    <xf numFmtId="3" fontId="49" fillId="0" borderId="0" xfId="6" applyNumberFormat="1" applyFont="1" applyFill="1" applyBorder="1" applyAlignment="1">
      <alignment horizontal="center" vertical="center"/>
    </xf>
    <xf numFmtId="3" fontId="49" fillId="0" borderId="0" xfId="5" applyNumberFormat="1" applyFont="1" applyFill="1" applyBorder="1" applyAlignment="1">
      <alignment horizontal="center" vertical="center" wrapText="1"/>
    </xf>
    <xf numFmtId="5" fontId="49" fillId="0" borderId="0" xfId="13" applyNumberFormat="1" applyFont="1" applyFill="1" applyBorder="1" applyAlignment="1">
      <alignment horizontal="center" vertical="center" wrapText="1"/>
    </xf>
    <xf numFmtId="5" fontId="49" fillId="0" borderId="0" xfId="13" applyNumberFormat="1" applyFont="1" applyFill="1" applyBorder="1" applyAlignment="1">
      <alignment horizontal="center" vertical="center"/>
    </xf>
    <xf numFmtId="1" fontId="49" fillId="0" borderId="0" xfId="5" applyNumberFormat="1" applyFont="1" applyFill="1" applyBorder="1" applyAlignment="1">
      <alignment horizontal="center" vertical="center" wrapText="1"/>
    </xf>
    <xf numFmtId="164" fontId="49" fillId="0" borderId="0" xfId="6" applyNumberFormat="1" applyFont="1" applyFill="1" applyBorder="1" applyAlignment="1">
      <alignment horizontal="center" vertical="center" wrapText="1"/>
    </xf>
    <xf numFmtId="164" fontId="49" fillId="0" borderId="0" xfId="6" applyNumberFormat="1" applyFont="1" applyFill="1" applyBorder="1" applyAlignment="1">
      <alignment horizontal="center" vertical="center"/>
    </xf>
    <xf numFmtId="3" fontId="49" fillId="0" borderId="0" xfId="5" applyNumberFormat="1" applyFont="1" applyFill="1" applyBorder="1" applyAlignment="1">
      <alignment horizontal="center" vertical="center"/>
    </xf>
    <xf numFmtId="0" fontId="50" fillId="8" borderId="0" xfId="3" applyFont="1" applyFill="1" applyBorder="1" applyAlignment="1">
      <alignment horizontal="center" vertical="center"/>
    </xf>
    <xf numFmtId="0" fontId="47" fillId="0" borderId="11" xfId="2" applyFont="1" applyFill="1" applyBorder="1" applyAlignment="1">
      <alignment horizontal="center" vertical="center" wrapText="1"/>
    </xf>
    <xf numFmtId="0" fontId="47" fillId="0" borderId="12" xfId="2" applyFont="1" applyFill="1" applyBorder="1" applyAlignment="1">
      <alignment horizontal="center" vertical="center" wrapText="1"/>
    </xf>
    <xf numFmtId="0" fontId="47" fillId="0" borderId="13" xfId="2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14">
    <cellStyle name="20% - Énfasis1" xfId="6" builtinId="30"/>
    <cellStyle name="Énfasis1" xfId="5" builtinId="29"/>
    <cellStyle name="Énfasis3" xfId="2" builtinId="37"/>
    <cellStyle name="Millares 2" xfId="12"/>
    <cellStyle name="Millares 3" xfId="10"/>
    <cellStyle name="Moneda" xfId="13" builtinId="4"/>
    <cellStyle name="Moneda 2" xfId="11"/>
    <cellStyle name="Normal" xfId="0" builtinId="0"/>
    <cellStyle name="Normal 2" xfId="7"/>
    <cellStyle name="Normal 3 2" xfId="3"/>
    <cellStyle name="Normal 3 2 2" xfId="8"/>
    <cellStyle name="Porcentaje" xfId="1" builtinId="5"/>
    <cellStyle name="Porcentual 2" xfId="9"/>
    <cellStyle name="Porcentual 4" xfId="4"/>
  </cellStyles>
  <dxfs count="1436">
    <dxf>
      <alignment horizontal="center" readingOrder="0"/>
    </dxf>
    <dxf>
      <alignment wrapText="1" readingOrder="0"/>
    </dxf>
    <dxf>
      <numFmt numFmtId="168" formatCode="0.0_ ;\-0.0\ 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numFmt numFmtId="165" formatCode="#,##0.0"/>
    </dxf>
    <dxf>
      <alignment wrapText="1" readingOrder="0"/>
    </dxf>
    <dxf>
      <font>
        <sz val="9"/>
      </font>
    </dxf>
    <dxf>
      <alignment vertical="center" readingOrder="0"/>
    </dxf>
    <dxf>
      <alignment vertical="bottom" readingOrder="0"/>
    </dxf>
    <dxf>
      <alignment wrapText="0" readingOrder="0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 readingOrder="0"/>
    </dxf>
    <dxf>
      <alignment wrapText="1" readingOrder="0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alignment wrapText="1" readingOrder="0"/>
    </dxf>
    <dxf>
      <font>
        <sz val="9"/>
      </font>
    </dxf>
    <dxf>
      <alignment vertical="center" readingOrder="0"/>
    </dxf>
    <dxf>
      <alignment vertical="bottom" readingOrder="0"/>
    </dxf>
    <dxf>
      <alignment wrapText="0" readingOrder="0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 readingOrder="0"/>
    </dxf>
    <dxf>
      <alignment wrapText="1" readingOrder="0"/>
    </dxf>
    <dxf>
      <numFmt numFmtId="168" formatCode="0.0_ ;\-0.0\ 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alignment wrapText="1" readingOrder="0"/>
    </dxf>
    <dxf>
      <font>
        <sz val="9"/>
      </font>
    </dxf>
    <dxf>
      <alignment vertical="center" readingOrder="0"/>
    </dxf>
    <dxf>
      <alignment vertical="bottom" readingOrder="0"/>
    </dxf>
    <dxf>
      <alignment wrapText="0" readingOrder="0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 readingOrder="0"/>
    </dxf>
    <dxf>
      <alignment wrapText="1" readingOrder="0"/>
    </dxf>
    <dxf>
      <alignment wrapText="1" readingOrder="0"/>
    </dxf>
    <dxf>
      <numFmt numFmtId="168" formatCode="0.0_ ;\-0.0\ 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font>
        <sz val="9"/>
      </font>
    </dxf>
    <dxf>
      <alignment vertical="center" readingOrder="0"/>
    </dxf>
    <dxf>
      <alignment vertical="bottom" readingOrder="0"/>
    </dxf>
    <dxf>
      <alignment wrapText="0" readingOrder="0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vertical="center" readingOrder="0"/>
    </dxf>
    <dxf>
      <alignment horizontal="center" readingOrder="0"/>
    </dxf>
    <dxf>
      <alignment wrapText="1" readingOrder="0"/>
    </dxf>
    <dxf>
      <numFmt numFmtId="168" formatCode="0.0_ ;\-0.0\ 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numFmt numFmtId="164" formatCode="0.0"/>
    </dxf>
    <dxf>
      <font>
        <sz val="9"/>
      </font>
    </dxf>
    <dxf>
      <alignment vertical="center" readingOrder="0"/>
    </dxf>
    <dxf>
      <alignment vertical="bottom" readingOrder="0"/>
    </dxf>
    <dxf>
      <alignment wrapText="0" readingOrder="0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sz val="9"/>
      </font>
    </dxf>
    <dxf>
      <alignment horizontal="center" readingOrder="0"/>
    </dxf>
    <dxf>
      <alignment vertical="center" readingOrder="0"/>
    </dxf>
    <dxf>
      <alignment wrapText="1" readingOrder="0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numFmt numFmtId="164" formatCode="0.0"/>
    </dxf>
    <dxf>
      <font>
        <sz val="9"/>
      </font>
    </dxf>
    <dxf>
      <alignment vertical="center" readingOrder="0"/>
    </dxf>
    <dxf>
      <alignment vertical="bottom" readingOrder="0"/>
    </dxf>
    <dxf>
      <alignment wrapText="0" readingOrder="0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sz val="9"/>
      </font>
    </dxf>
    <dxf>
      <font>
        <sz val="9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numFmt numFmtId="168" formatCode="0.0_ ;\-0.0\ "/>
    </dxf>
    <dxf>
      <alignment horizont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auto="1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sz val="9"/>
      </font>
    </dxf>
    <dxf>
      <font>
        <sz val="9"/>
      </font>
    </dxf>
    <dxf>
      <alignment horizontal="center" indent="0" readingOrder="0"/>
    </dxf>
    <dxf>
      <numFmt numFmtId="167" formatCode="_-&quot;$&quot;* #,##0.0_-;\-&quot;$&quot;* #,##0.0_-;_-&quot;$&quot;* &quot;-&quot;?_-;_-@_-"/>
    </dxf>
    <dxf>
      <numFmt numFmtId="167" formatCode="_-&quot;$&quot;* #,##0.0_-;\-&quot;$&quot;* #,##0.0_-;_-&quot;$&quot;* &quot;-&quot;?_-;_-@_-"/>
    </dxf>
    <dxf>
      <font>
        <b/>
      </font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color auto="1"/>
      </font>
    </dxf>
    <dxf>
      <numFmt numFmtId="165" formatCode="#,##0.0"/>
    </dxf>
    <dxf>
      <numFmt numFmtId="165" formatCode="#,##0.0"/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9847407452621"/>
      </font>
    </dxf>
    <dxf>
      <font>
        <color theme="0"/>
      </font>
    </dxf>
    <dxf>
      <numFmt numFmtId="3" formatCode="#,##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3" formatCode="#,##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3" formatCode="#,##0"/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9847407452621"/>
      </font>
    </dxf>
    <dxf>
      <font>
        <color theme="0"/>
      </font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3" formatCode="#,##0"/>
    </dxf>
    <dxf>
      <numFmt numFmtId="165" formatCode="#,##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64" formatCode="0.0"/>
    </dxf>
    <dxf>
      <numFmt numFmtId="2" formatCode="0.0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3" formatCode="#,##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2" formatCode="0.0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ontserrat"/>
        <scheme val="none"/>
      </font>
      <numFmt numFmtId="164" formatCode="0.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4" formatCode="#,##0.0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0.0"/>
    </dxf>
    <dxf>
      <border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165" formatCode="#,##0.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9" formatCode="&quot;$&quot;#,##0.0"/>
    </dxf>
    <dxf>
      <numFmt numFmtId="164" formatCode="0.0"/>
    </dxf>
    <dxf>
      <alignment horizontal="center" readingOrder="0"/>
    </dxf>
    <dxf>
      <alignment horizontal="center" readingOrder="0"/>
    </dxf>
    <dxf>
      <numFmt numFmtId="164" formatCode="0.0"/>
    </dxf>
    <dxf>
      <numFmt numFmtId="164" formatCode="0.0"/>
    </dxf>
    <dxf>
      <alignment horizontal="center" readingOrder="0"/>
    </dxf>
    <dxf>
      <alignment horizontal="general" readingOrder="0"/>
    </dxf>
    <dxf>
      <numFmt numFmtId="164" formatCode="0.0"/>
    </dxf>
    <dxf>
      <numFmt numFmtId="2" formatCode="0.00"/>
    </dxf>
    <dxf>
      <numFmt numFmtId="3" formatCode="#,##0"/>
    </dxf>
    <dxf>
      <numFmt numFmtId="2" formatCode="0.00"/>
    </dxf>
    <dxf>
      <alignment horizontal="left" readingOrder="0"/>
    </dxf>
    <dxf>
      <alignment horizontal="center" readingOrder="0"/>
    </dxf>
    <dxf>
      <alignment horizontal="center" readingOrder="0"/>
    </dxf>
    <dxf>
      <numFmt numFmtId="2" formatCode="0.00"/>
    </dxf>
    <dxf>
      <numFmt numFmtId="4" formatCode="#,##0.00"/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ontserrat SemiBold"/>
        <scheme val="none"/>
      </font>
    </dxf>
    <dxf>
      <font>
        <strike val="0"/>
        <outline val="0"/>
        <shadow val="0"/>
        <u val="none"/>
        <vertAlign val="baseline"/>
        <sz val="10"/>
        <name val="Montserrat SemiBold"/>
        <scheme val="none"/>
      </font>
    </dxf>
    <dxf>
      <font>
        <strike val="0"/>
        <outline val="0"/>
        <shadow val="0"/>
        <u val="none"/>
        <vertAlign val="baseline"/>
        <sz val="10"/>
        <name val="Montserrat Semi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ontserrat SemiBol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 SemiBold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7/relationships/slicerCache" Target="slicerCaches/slicerCach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cobertura!$A$5</c:f>
              <c:strCache>
                <c:ptCount val="1"/>
                <c:pt idx="0">
                  <c:v>COBERTURA EN EL GRUPO DE EDAD DE LA EDUCACIÓN MEDIA SUPERIOR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FF6-4594-8269-FA985EB86350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FF6-4594-8269-FA985EB86350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FF6-4594-8269-FA985EB86350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FF6-4594-8269-FA985EB86350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FF6-4594-8269-FA985EB86350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FF6-4594-8269-FA985EB863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cobertura!$A$8:$A$14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cobertura!$B$8:$B$14</c:f>
              <c:numCache>
                <c:formatCode>0.00</c:formatCode>
                <c:ptCount val="7"/>
                <c:pt idx="0">
                  <c:v>3.5886737030570868</c:v>
                </c:pt>
                <c:pt idx="1">
                  <c:v>3.6066068210471562</c:v>
                </c:pt>
                <c:pt idx="2">
                  <c:v>3.6164394797381685</c:v>
                </c:pt>
                <c:pt idx="3">
                  <c:v>3.6499929623287373</c:v>
                </c:pt>
                <c:pt idx="4">
                  <c:v>3.7629704979145839</c:v>
                </c:pt>
                <c:pt idx="5">
                  <c:v>3.8761252017141596</c:v>
                </c:pt>
                <c:pt idx="6">
                  <c:v>3.8587193062876439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1FF6-4594-8269-FA985EB863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titulacion!$A$5</c:f>
              <c:strCache>
                <c:ptCount val="1"/>
                <c:pt idx="0">
                  <c:v>TITULACIÓN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0F5-4167-8208-8D842B41FDB2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0F5-4167-8208-8D842B41FDB2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0F5-4167-8208-8D842B41FDB2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0F5-4167-8208-8D842B41FDB2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0F5-4167-8208-8D842B41FDB2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0F5-4167-8208-8D842B41FD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titulacion!$A$8:$A$14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titulacion!$B$8:$B$14</c:f>
              <c:numCache>
                <c:formatCode>0.0</c:formatCode>
                <c:ptCount val="7"/>
                <c:pt idx="0">
                  <c:v>89.205669382792223</c:v>
                </c:pt>
                <c:pt idx="1">
                  <c:v>88.165320830077277</c:v>
                </c:pt>
                <c:pt idx="2">
                  <c:v>88.867786705624539</c:v>
                </c:pt>
                <c:pt idx="3">
                  <c:v>88.360747601938229</c:v>
                </c:pt>
                <c:pt idx="4">
                  <c:v>87.228016175772353</c:v>
                </c:pt>
                <c:pt idx="5">
                  <c:v>85.722144428885784</c:v>
                </c:pt>
                <c:pt idx="6">
                  <c:v>84.02268009922544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0F5-4167-8208-8D842B41FD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costo!$A$5</c:f>
              <c:strCache>
                <c:ptCount val="1"/>
                <c:pt idx="0">
                  <c:v>COSTO POR ALUMNO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41C-4F7E-AF78-DAD6B08CA69B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41C-4F7E-AF78-DAD6B08CA69B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41C-4F7E-AF78-DAD6B08CA69B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41C-4F7E-AF78-DAD6B08CA69B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41C-4F7E-AF78-DAD6B08CA69B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41C-4F7E-AF78-DAD6B08CA6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costo!$A$8:$A$14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costo!$B$8:$B$14</c:f>
              <c:numCache>
                <c:formatCode>#,##0</c:formatCode>
                <c:ptCount val="7"/>
                <c:pt idx="0">
                  <c:v>13384.843266333244</c:v>
                </c:pt>
                <c:pt idx="1">
                  <c:v>14177.484265094292</c:v>
                </c:pt>
                <c:pt idx="2">
                  <c:v>14605.713034552999</c:v>
                </c:pt>
                <c:pt idx="3">
                  <c:v>14927.329292023918</c:v>
                </c:pt>
                <c:pt idx="4">
                  <c:v>16284.499202522724</c:v>
                </c:pt>
                <c:pt idx="5">
                  <c:v>16537.446855485287</c:v>
                </c:pt>
                <c:pt idx="6">
                  <c:v>17596.600771310892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41C-4F7E-AF78-DAD6B08CA6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adocente!$A$5</c:f>
              <c:strCache>
                <c:ptCount val="1"/>
                <c:pt idx="0">
                  <c:v>ALUMNOS POR DOCENTE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702-46D8-A90B-AA101C7C5960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702-46D8-A90B-AA101C7C5960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702-46D8-A90B-AA101C7C5960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702-46D8-A90B-AA101C7C5960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702-46D8-A90B-AA101C7C5960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702-46D8-A90B-AA101C7C59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adocente!$A$8:$A$14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adocente!$B$8:$B$14</c:f>
              <c:numCache>
                <c:formatCode>#,##0.0</c:formatCode>
                <c:ptCount val="7"/>
                <c:pt idx="0">
                  <c:v>19.067498902201869</c:v>
                </c:pt>
                <c:pt idx="1">
                  <c:v>18.855722629551387</c:v>
                </c:pt>
                <c:pt idx="2">
                  <c:v>18.850012493753123</c:v>
                </c:pt>
                <c:pt idx="3">
                  <c:v>19.428807841639614</c:v>
                </c:pt>
                <c:pt idx="4">
                  <c:v>19.605310072583727</c:v>
                </c:pt>
                <c:pt idx="5">
                  <c:v>19.909079300217087</c:v>
                </c:pt>
                <c:pt idx="6">
                  <c:v>19.570211683936176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702-46D8-A90B-AA101C7C59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becas!$A$5</c:f>
              <c:strCache>
                <c:ptCount val="1"/>
                <c:pt idx="0">
                  <c:v>ALUMNOS BECADOS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620-4607-A156-EBCBEAC62BEC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620-4607-A156-EBCBEAC62BEC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620-4607-A156-EBCBEAC62BEC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620-4607-A156-EBCBEAC62BEC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620-4607-A156-EBCBEAC62BEC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620-4607-A156-EBCBEAC62B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becas!$A$8:$A$14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becas!$B$8:$B$14</c:f>
              <c:numCache>
                <c:formatCode>0.0</c:formatCode>
                <c:ptCount val="7"/>
                <c:pt idx="0">
                  <c:v>16.412297873040419</c:v>
                </c:pt>
                <c:pt idx="1">
                  <c:v>17.919753249149817</c:v>
                </c:pt>
                <c:pt idx="2">
                  <c:v>6.2766983373708785</c:v>
                </c:pt>
                <c:pt idx="3">
                  <c:v>5.857243010555421</c:v>
                </c:pt>
                <c:pt idx="4">
                  <c:v>4.7148456909402086</c:v>
                </c:pt>
                <c:pt idx="5">
                  <c:v>5.4205044000307874</c:v>
                </c:pt>
                <c:pt idx="6">
                  <c:v>3.3164533114185395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620-4607-A156-EBCBEAC62B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alupc!$A$5</c:f>
              <c:strCache>
                <c:ptCount val="1"/>
                <c:pt idx="0">
                  <c:v>ALUMNOS POR COMPUTADORA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ABC-4EFC-B2F8-BC77C4762DAE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ABC-4EFC-B2F8-BC77C4762DAE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ABC-4EFC-B2F8-BC77C4762DAE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ABC-4EFC-B2F8-BC77C4762DAE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ABC-4EFC-B2F8-BC77C4762DAE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ABC-4EFC-B2F8-BC77C4762D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alupc!$A$8:$A$14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alupc!$B$8:$B$14</c:f>
              <c:numCache>
                <c:formatCode>#,##0.0</c:formatCode>
                <c:ptCount val="7"/>
                <c:pt idx="0">
                  <c:v>10.831551564393129</c:v>
                </c:pt>
                <c:pt idx="1">
                  <c:v>10.481262736158602</c:v>
                </c:pt>
                <c:pt idx="2">
                  <c:v>10.38479540214062</c:v>
                </c:pt>
                <c:pt idx="3">
                  <c:v>10.505076229479988</c:v>
                </c:pt>
                <c:pt idx="4">
                  <c:v>9.6645114717052198</c:v>
                </c:pt>
                <c:pt idx="5">
                  <c:v>9.7867612441542953</c:v>
                </c:pt>
                <c:pt idx="6">
                  <c:v>9.6625655189730395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ABC-4EFC-B2F8-BC77C4762D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admpc!$A$5</c:f>
              <c:strCache>
                <c:ptCount val="1"/>
                <c:pt idx="0">
                  <c:v>ADMINISTRATIVOS POR COMPUTADORA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229-4AC2-AA79-0A584DEA8777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229-4AC2-AA79-0A584DEA8777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229-4AC2-AA79-0A584DEA8777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229-4AC2-AA79-0A584DEA8777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229-4AC2-AA79-0A584DEA8777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229-4AC2-AA79-0A584DEA87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admpc!$A$8:$A$14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admpc!$B$8:$B$14</c:f>
              <c:numCache>
                <c:formatCode>#,##0.0</c:formatCode>
                <c:ptCount val="7"/>
                <c:pt idx="0">
                  <c:v>1.6325742956387495</c:v>
                </c:pt>
                <c:pt idx="1">
                  <c:v>1.1191616766467065</c:v>
                </c:pt>
                <c:pt idx="2">
                  <c:v>1.244846389147493</c:v>
                </c:pt>
                <c:pt idx="3">
                  <c:v>1.244846389147493</c:v>
                </c:pt>
                <c:pt idx="4">
                  <c:v>1.2307692307692308</c:v>
                </c:pt>
                <c:pt idx="5">
                  <c:v>1.2307692307692308</c:v>
                </c:pt>
                <c:pt idx="6">
                  <c:v>1.2307692307692308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229-4AC2-AA79-0A584DEA87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capacitacion!$A$5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11F-4450-8A49-912C44E0D034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11F-4450-8A49-912C44E0D034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11F-4450-8A49-912C44E0D034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11F-4450-8A49-912C44E0D034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E8E-4E7B-897D-131337BB0A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capacitacion!$A$8:$A$14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capacitacion!$B$8:$B$14</c:f>
              <c:numCache>
                <c:formatCode>#,##0</c:formatCode>
                <c:ptCount val="7"/>
                <c:pt idx="0">
                  <c:v>416393</c:v>
                </c:pt>
                <c:pt idx="1">
                  <c:v>321889</c:v>
                </c:pt>
                <c:pt idx="2">
                  <c:v>226675</c:v>
                </c:pt>
                <c:pt idx="3">
                  <c:v>146615</c:v>
                </c:pt>
                <c:pt idx="4">
                  <c:v>142971</c:v>
                </c:pt>
                <c:pt idx="5">
                  <c:v>167725</c:v>
                </c:pt>
                <c:pt idx="6">
                  <c:v>164018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11F-4450-8A49-912C44E0D0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servtec!$A$5</c:f>
              <c:strCache>
                <c:ptCount val="1"/>
                <c:pt idx="0">
                  <c:v>SERVICIOS TECNOLÓGICOS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638-4A5D-860E-2A5138203546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638-4A5D-860E-2A5138203546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638-4A5D-860E-2A5138203546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638-4A5D-860E-2A5138203546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638-4A5D-860E-2A5138203546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638-4A5D-860E-2A51382035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servtec!$A$8:$A$14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servtec!$B$8:$B$14</c:f>
              <c:numCache>
                <c:formatCode>#,##0</c:formatCode>
                <c:ptCount val="7"/>
                <c:pt idx="0">
                  <c:v>16953</c:v>
                </c:pt>
                <c:pt idx="1">
                  <c:v>14474</c:v>
                </c:pt>
                <c:pt idx="2">
                  <c:v>15371</c:v>
                </c:pt>
                <c:pt idx="3">
                  <c:v>14532</c:v>
                </c:pt>
                <c:pt idx="4">
                  <c:v>14606</c:v>
                </c:pt>
                <c:pt idx="5">
                  <c:v>16625</c:v>
                </c:pt>
                <c:pt idx="6">
                  <c:v>20186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638-4A5D-860E-2A51382035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certificacion!$A$5</c:f>
              <c:strCache>
                <c:ptCount val="1"/>
                <c:pt idx="0">
                  <c:v>CERTIFICACIÓN DE COMPETENCIAS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991-4CB7-8FD2-59F458E8EE53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991-4CB7-8FD2-59F458E8EE53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991-4CB7-8FD2-59F458E8EE53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991-4CB7-8FD2-59F458E8EE53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991-4CB7-8FD2-59F458E8EE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certificacion!$A$8:$A$14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certificacion!$B$8:$B$14</c:f>
              <c:numCache>
                <c:formatCode>#,##0</c:formatCode>
                <c:ptCount val="6"/>
                <c:pt idx="0">
                  <c:v>68182</c:v>
                </c:pt>
                <c:pt idx="1">
                  <c:v>70549</c:v>
                </c:pt>
                <c:pt idx="2">
                  <c:v>64633</c:v>
                </c:pt>
                <c:pt idx="3">
                  <c:v>74753</c:v>
                </c:pt>
                <c:pt idx="4">
                  <c:v>121394</c:v>
                </c:pt>
                <c:pt idx="5">
                  <c:v>163434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991-4CB7-8FD2-59F458E8EE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bexterno!$A$5</c:f>
              <c:strCache>
                <c:ptCount val="1"/>
                <c:pt idx="0">
                  <c:v>COBERTURA DE BECADOS EXTERNOS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18C-4119-ADFF-C476311BE60A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18C-4119-ADFF-C476311BE60A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18C-4119-ADFF-C476311BE60A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18C-4119-ADFF-C476311BE60A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18C-4119-ADFF-C476311BE60A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18C-4119-ADFF-C476311BE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bexterno!$A$8:$A$14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bexterno!$B$8:$B$14</c:f>
              <c:numCache>
                <c:formatCode>0.0</c:formatCode>
                <c:ptCount val="7"/>
                <c:pt idx="0">
                  <c:v>2.0137849352700234</c:v>
                </c:pt>
                <c:pt idx="1">
                  <c:v>9.6996678353939831</c:v>
                </c:pt>
                <c:pt idx="2">
                  <c:v>6.319448817071029</c:v>
                </c:pt>
                <c:pt idx="3">
                  <c:v>3.451314677342209</c:v>
                </c:pt>
                <c:pt idx="4">
                  <c:v>3.4245796811519837</c:v>
                </c:pt>
                <c:pt idx="5">
                  <c:v>3.4202863227031326</c:v>
                </c:pt>
                <c:pt idx="6">
                  <c:v>3.9060089196677703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18C-4119-ADFF-C476311BE6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demanda!$A$5</c:f>
              <c:strCache>
                <c:ptCount val="1"/>
                <c:pt idx="0">
                  <c:v>ATENCIÓN A LA DEMANDA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260-4622-8841-CD1159C8E9AE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260-4622-8841-CD1159C8E9AE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260-4622-8841-CD1159C8E9AE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260-4622-8841-CD1159C8E9AE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260-4622-8841-CD1159C8E9AE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260-4622-8841-CD1159C8E9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demanda!$A$8:$A$14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demanda!$B$8:$B$14</c:f>
              <c:numCache>
                <c:formatCode>0.00</c:formatCode>
                <c:ptCount val="7"/>
                <c:pt idx="0">
                  <c:v>73.055395049406712</c:v>
                </c:pt>
                <c:pt idx="1">
                  <c:v>77.31354499342477</c:v>
                </c:pt>
                <c:pt idx="2">
                  <c:v>81.471791231450496</c:v>
                </c:pt>
                <c:pt idx="3">
                  <c:v>83.466287481002666</c:v>
                </c:pt>
                <c:pt idx="4">
                  <c:v>77.391225361068223</c:v>
                </c:pt>
                <c:pt idx="5">
                  <c:v>80.070425230604357</c:v>
                </c:pt>
                <c:pt idx="6">
                  <c:v>81.04278601558201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60-4622-8841-CD1159C8E9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PCSINEMS!$A$5</c:f>
              <c:strCache>
                <c:ptCount val="1"/>
                <c:pt idx="0">
                  <c:v>Cobertura del Padrón de Calidad del Sistema Nacional de Educación Media Superior (PC-SINEMS)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DC4-44CE-A949-A96E6347E8A1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DC4-44CE-A949-A96E6347E8A1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DC4-44CE-A949-A96E6347E8A1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DC4-44CE-A949-A96E6347E8A1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DC4-44CE-A949-A96E6347E8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PCSINEMS!$A$9:$A$14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PCSINEMS!$B$9:$B$14</c:f>
              <c:numCache>
                <c:formatCode>0.0</c:formatCode>
                <c:ptCount val="6"/>
                <c:pt idx="0">
                  <c:v>43.151741227954545</c:v>
                </c:pt>
                <c:pt idx="1">
                  <c:v>68.939989832183528</c:v>
                </c:pt>
                <c:pt idx="2">
                  <c:v>80.631189663419008</c:v>
                </c:pt>
                <c:pt idx="3">
                  <c:v>82.694934739754672</c:v>
                </c:pt>
                <c:pt idx="4">
                  <c:v>85.322276278317986</c:v>
                </c:pt>
                <c:pt idx="5">
                  <c:v>88.427034356637279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DC4-44CE-A949-A96E6347E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cd!$B$20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cd!$A$20:$A$27</c:f>
              <c:strCache>
                <c:ptCount val="8"/>
                <c:pt idx="0">
                  <c:v>Año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cd!$B$21:$B$27</c:f>
              <c:numCache>
                <c:formatCode>General</c:formatCode>
                <c:ptCount val="7"/>
                <c:pt idx="0">
                  <c:v>1450045</c:v>
                </c:pt>
                <c:pt idx="1">
                  <c:v>1477702</c:v>
                </c:pt>
                <c:pt idx="2">
                  <c:v>1422011.4</c:v>
                </c:pt>
                <c:pt idx="3">
                  <c:v>1430230.9999999998</c:v>
                </c:pt>
                <c:pt idx="4">
                  <c:v>1521741.574</c:v>
                </c:pt>
                <c:pt idx="5">
                  <c:v>1581332.3219999999</c:v>
                </c:pt>
                <c:pt idx="6">
                  <c:v>1578480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9-4911-BAFC-BAE3CF98A887}"/>
            </c:ext>
          </c:extLst>
        </c:ser>
        <c:ser>
          <c:idx val="2"/>
          <c:order val="1"/>
          <c:tx>
            <c:strRef>
              <c:f>cd!$C$20</c:f>
              <c:strCache>
                <c:ptCount val="1"/>
                <c:pt idx="0">
                  <c:v>Gasto Ejercido en docentes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cd!$A$20:$A$27</c:f>
              <c:strCache>
                <c:ptCount val="8"/>
                <c:pt idx="0">
                  <c:v>Año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cd!$C$21:$C$27</c:f>
              <c:numCache>
                <c:formatCode>General</c:formatCode>
                <c:ptCount val="7"/>
                <c:pt idx="0">
                  <c:v>256402</c:v>
                </c:pt>
                <c:pt idx="1">
                  <c:v>267870.54704999999</c:v>
                </c:pt>
                <c:pt idx="2">
                  <c:v>282670</c:v>
                </c:pt>
                <c:pt idx="3">
                  <c:v>299517.17913</c:v>
                </c:pt>
                <c:pt idx="4">
                  <c:v>327125.75745099987</c:v>
                </c:pt>
                <c:pt idx="5">
                  <c:v>364874.22713000007</c:v>
                </c:pt>
                <c:pt idx="6">
                  <c:v>367837.29021000001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9-4911-BAFC-BAE3CF98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cd!$D$20</c:f>
              <c:strCache>
                <c:ptCount val="1"/>
                <c:pt idx="0">
                  <c:v>Costo docente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cd!$A$20:$A$27</c:f>
              <c:strCache>
                <c:ptCount val="8"/>
                <c:pt idx="0">
                  <c:v>Año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cd!$D$21:$D$27</c:f>
              <c:numCache>
                <c:formatCode>General</c:formatCode>
                <c:ptCount val="7"/>
                <c:pt idx="0">
                  <c:v>17.682347789206542</c:v>
                </c:pt>
                <c:pt idx="1">
                  <c:v>18.127507917699237</c:v>
                </c:pt>
                <c:pt idx="2">
                  <c:v>19.878181004737375</c:v>
                </c:pt>
                <c:pt idx="3">
                  <c:v>20.941874363651749</c:v>
                </c:pt>
                <c:pt idx="4">
                  <c:v>21.49680097068833</c:v>
                </c:pt>
                <c:pt idx="5">
                  <c:v>23.073848681504412</c:v>
                </c:pt>
                <c:pt idx="6">
                  <c:v>23.30325947810552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F9-4911-BAFC-BAE3CF98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eprt!$B$20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eprt!$A$21:$A$27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eprt!$B$21:$B$27</c:f>
              <c:numCache>
                <c:formatCode>General</c:formatCode>
                <c:ptCount val="7"/>
                <c:pt idx="0">
                  <c:v>1457806</c:v>
                </c:pt>
                <c:pt idx="1">
                  <c:v>1497810.8</c:v>
                </c:pt>
                <c:pt idx="2">
                  <c:v>1425249.5</c:v>
                </c:pt>
                <c:pt idx="3">
                  <c:v>1425327.2999999998</c:v>
                </c:pt>
                <c:pt idx="4">
                  <c:v>1524483.65</c:v>
                </c:pt>
                <c:pt idx="5">
                  <c:v>1587194</c:v>
                </c:pt>
                <c:pt idx="6">
                  <c:v>1583166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8-48D7-8DCD-3AB803961EB4}"/>
            </c:ext>
          </c:extLst>
        </c:ser>
        <c:ser>
          <c:idx val="2"/>
          <c:order val="1"/>
          <c:tx>
            <c:strRef>
              <c:f>eprt!$C$20</c:f>
              <c:strCache>
                <c:ptCount val="1"/>
                <c:pt idx="0">
                  <c:v>Presupuesto
Ejercido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eprt!$A$21:$A$27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eprt!$C$21:$C$27</c:f>
              <c:numCache>
                <c:formatCode>General</c:formatCode>
                <c:ptCount val="7"/>
                <c:pt idx="0">
                  <c:v>1450045</c:v>
                </c:pt>
                <c:pt idx="1">
                  <c:v>1477702</c:v>
                </c:pt>
                <c:pt idx="2">
                  <c:v>1422011.4</c:v>
                </c:pt>
                <c:pt idx="3">
                  <c:v>1430230.9999999998</c:v>
                </c:pt>
                <c:pt idx="4">
                  <c:v>1521741.574</c:v>
                </c:pt>
                <c:pt idx="5">
                  <c:v>1581332.3219999999</c:v>
                </c:pt>
                <c:pt idx="6">
                  <c:v>1578480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8-48D7-8DCD-3AB80396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eprt!$D$20</c:f>
              <c:strCache>
                <c:ptCount val="1"/>
                <c:pt idx="0">
                  <c:v>Evolución del Presupuesto Reprogramado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eprt!$A$21:$A$27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eprt!$D$21:$D$27</c:f>
              <c:numCache>
                <c:formatCode>General</c:formatCode>
                <c:ptCount val="7"/>
                <c:pt idx="0">
                  <c:v>99.467624635925489</c:v>
                </c:pt>
                <c:pt idx="1">
                  <c:v>98.657453932098761</c:v>
                </c:pt>
                <c:pt idx="2">
                  <c:v>99.772804691389112</c:v>
                </c:pt>
                <c:pt idx="3">
                  <c:v>100.34404027762605</c:v>
                </c:pt>
                <c:pt idx="4">
                  <c:v>99.820130835775117</c:v>
                </c:pt>
                <c:pt idx="5">
                  <c:v>99.630689254117641</c:v>
                </c:pt>
                <c:pt idx="6">
                  <c:v>99.704010823880751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8-48D7-8DCD-3AB80396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epr!$B$20</c:f>
              <c:strCache>
                <c:ptCount val="1"/>
                <c:pt idx="0">
                  <c:v>Presupuesto Reprogramado
(Recursos Fiscales)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epr!$A$21:$A$27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epr!$B$21:$B$27</c:f>
              <c:numCache>
                <c:formatCode>General</c:formatCode>
                <c:ptCount val="7"/>
                <c:pt idx="0">
                  <c:v>1336007</c:v>
                </c:pt>
                <c:pt idx="1">
                  <c:v>1379713.2</c:v>
                </c:pt>
                <c:pt idx="2">
                  <c:v>1296985</c:v>
                </c:pt>
                <c:pt idx="3">
                  <c:v>1358327.2999999998</c:v>
                </c:pt>
                <c:pt idx="4">
                  <c:v>1471983.65</c:v>
                </c:pt>
                <c:pt idx="5">
                  <c:v>1532193.57</c:v>
                </c:pt>
                <c:pt idx="6">
                  <c:v>1528166.3060000001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1-4297-AB5D-92D9BA02ED99}"/>
            </c:ext>
          </c:extLst>
        </c:ser>
        <c:ser>
          <c:idx val="2"/>
          <c:order val="1"/>
          <c:tx>
            <c:strRef>
              <c:f>epr!$C$20</c:f>
              <c:strCache>
                <c:ptCount val="1"/>
                <c:pt idx="0">
                  <c:v>Presupuesto Ejercido (Recursos Fiscales)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epr!$A$21:$A$27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epr!$C$21:$C$27</c:f>
              <c:numCache>
                <c:formatCode>General</c:formatCode>
                <c:ptCount val="7"/>
                <c:pt idx="0">
                  <c:v>1336007</c:v>
                </c:pt>
                <c:pt idx="1">
                  <c:v>1379713.2</c:v>
                </c:pt>
                <c:pt idx="2">
                  <c:v>1296985</c:v>
                </c:pt>
                <c:pt idx="3">
                  <c:v>1358327.2999999998</c:v>
                </c:pt>
                <c:pt idx="4">
                  <c:v>1470588.7209999999</c:v>
                </c:pt>
                <c:pt idx="5">
                  <c:v>1532193.57</c:v>
                </c:pt>
                <c:pt idx="6">
                  <c:v>1528166.3060000001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1-4297-AB5D-92D9BA02E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epr!$D$20</c:f>
              <c:strCache>
                <c:ptCount val="1"/>
                <c:pt idx="0">
                  <c:v>Evolución del Presupuesto Reprogramado
(Recursos fiscales)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epr!$A$21:$A$27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epr!$D$21:$D$27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99.905234749040858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71-4297-AB5D-92D9BA02E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egc!$B$20</c:f>
              <c:strCache>
                <c:ptCount val="1"/>
                <c:pt idx="0">
                  <c:v>Presupuesto Reprogramado
(Gasto Corriente)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egc!$A$21:$A$27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egc!$B$21:$B$27</c:f>
              <c:numCache>
                <c:formatCode>General</c:formatCode>
                <c:ptCount val="7"/>
                <c:pt idx="0">
                  <c:v>1339687.2</c:v>
                </c:pt>
                <c:pt idx="1">
                  <c:v>1433622.3</c:v>
                </c:pt>
                <c:pt idx="2">
                  <c:v>1412252.6</c:v>
                </c:pt>
                <c:pt idx="3">
                  <c:v>1404668.4</c:v>
                </c:pt>
                <c:pt idx="4">
                  <c:v>1476955.71</c:v>
                </c:pt>
                <c:pt idx="5">
                  <c:v>1528064.0179999999</c:v>
                </c:pt>
                <c:pt idx="6">
                  <c:v>1579519.281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95F-B4A5-E2133F8C8EEE}"/>
            </c:ext>
          </c:extLst>
        </c:ser>
        <c:ser>
          <c:idx val="2"/>
          <c:order val="1"/>
          <c:tx>
            <c:strRef>
              <c:f>egc!$C$20</c:f>
              <c:strCache>
                <c:ptCount val="1"/>
                <c:pt idx="0">
                  <c:v>Presupuesto Ejercido (Gasto Corriente)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egc!$A$21:$A$27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egc!$C$21:$C$27</c:f>
              <c:numCache>
                <c:formatCode>General</c:formatCode>
                <c:ptCount val="7"/>
                <c:pt idx="0">
                  <c:v>1334976.8</c:v>
                </c:pt>
                <c:pt idx="1">
                  <c:v>1414326.6</c:v>
                </c:pt>
                <c:pt idx="2">
                  <c:v>1409321.5</c:v>
                </c:pt>
                <c:pt idx="3">
                  <c:v>1409572.0999999999</c:v>
                </c:pt>
                <c:pt idx="4">
                  <c:v>1474213.6429999999</c:v>
                </c:pt>
                <c:pt idx="5">
                  <c:v>1522202.77</c:v>
                </c:pt>
                <c:pt idx="6">
                  <c:v>1574833.44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3-495F-B4A5-E2133F8C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egc!$D$20</c:f>
              <c:strCache>
                <c:ptCount val="1"/>
                <c:pt idx="0">
                  <c:v>Evolución del Gasto Corriente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egc!$A$21:$A$27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egc!$D$21:$D$27</c:f>
              <c:numCache>
                <c:formatCode>General</c:formatCode>
                <c:ptCount val="7"/>
                <c:pt idx="0">
                  <c:v>99.648395535913167</c:v>
                </c:pt>
                <c:pt idx="1">
                  <c:v>98.654059719913676</c:v>
                </c:pt>
                <c:pt idx="2">
                  <c:v>99.792452143476311</c:v>
                </c:pt>
                <c:pt idx="3">
                  <c:v>100.34910018620764</c:v>
                </c:pt>
                <c:pt idx="4">
                  <c:v>99.814343315684113</c:v>
                </c:pt>
                <c:pt idx="5">
                  <c:v>99.616426541626751</c:v>
                </c:pt>
                <c:pt idx="6">
                  <c:v>99.70333752450091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3-495F-B4A5-E2133F8C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egi!$B$20</c:f>
              <c:strCache>
                <c:ptCount val="1"/>
                <c:pt idx="0">
                  <c:v>Presupuesto Reprogramado
(Gasto de Inversión)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egi!$A$21:$A$27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egi!$B$21:$B$27</c:f>
              <c:numCache>
                <c:formatCode>General</c:formatCode>
                <c:ptCount val="7"/>
                <c:pt idx="0">
                  <c:v>118119</c:v>
                </c:pt>
                <c:pt idx="1">
                  <c:v>64188.5</c:v>
                </c:pt>
                <c:pt idx="2">
                  <c:v>12997</c:v>
                </c:pt>
                <c:pt idx="3">
                  <c:v>20658.900000000001</c:v>
                </c:pt>
                <c:pt idx="4">
                  <c:v>47527.94</c:v>
                </c:pt>
                <c:pt idx="5">
                  <c:v>59130</c:v>
                </c:pt>
                <c:pt idx="6">
                  <c:v>3647.0250000000001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E-4E72-B43F-6795F8F834DC}"/>
            </c:ext>
          </c:extLst>
        </c:ser>
        <c:ser>
          <c:idx val="2"/>
          <c:order val="1"/>
          <c:tx>
            <c:strRef>
              <c:f>egi!$C$20</c:f>
              <c:strCache>
                <c:ptCount val="1"/>
                <c:pt idx="0">
                  <c:v>Presupuesto Ejercido (Gasto de Inversión)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egi!$A$21:$A$27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egi!$C$21:$C$27</c:f>
              <c:numCache>
                <c:formatCode>General</c:formatCode>
                <c:ptCount val="7"/>
                <c:pt idx="0">
                  <c:v>115068.5</c:v>
                </c:pt>
                <c:pt idx="1">
                  <c:v>63375.4</c:v>
                </c:pt>
                <c:pt idx="2">
                  <c:v>12690</c:v>
                </c:pt>
                <c:pt idx="3">
                  <c:v>20658.900000000001</c:v>
                </c:pt>
                <c:pt idx="4">
                  <c:v>47527.930999999997</c:v>
                </c:pt>
                <c:pt idx="5">
                  <c:v>59130</c:v>
                </c:pt>
                <c:pt idx="6">
                  <c:v>3647.0250000000001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E-4E72-B43F-6795F8F83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egi!$D$20</c:f>
              <c:strCache>
                <c:ptCount val="1"/>
                <c:pt idx="0">
                  <c:v>Evolución del Gasto de Inversión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egi!$A$21:$A$27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egi!$D$21:$D$27</c:f>
              <c:numCache>
                <c:formatCode>General</c:formatCode>
                <c:ptCount val="7"/>
                <c:pt idx="0">
                  <c:v>97.417434959659317</c:v>
                </c:pt>
                <c:pt idx="1">
                  <c:v>98.733262188709816</c:v>
                </c:pt>
                <c:pt idx="2">
                  <c:v>97.6379164422559</c:v>
                </c:pt>
                <c:pt idx="3">
                  <c:v>100</c:v>
                </c:pt>
                <c:pt idx="4">
                  <c:v>99.999981063770065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2E-4E72-B43F-6795F8F83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auto!$B$20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auto!$A$21:$A$27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auto!$B$21:$B$27</c:f>
              <c:numCache>
                <c:formatCode>General</c:formatCode>
                <c:ptCount val="7"/>
                <c:pt idx="0">
                  <c:v>1450045.3</c:v>
                </c:pt>
                <c:pt idx="1">
                  <c:v>1477702</c:v>
                </c:pt>
                <c:pt idx="2">
                  <c:v>1422011.4</c:v>
                </c:pt>
                <c:pt idx="3">
                  <c:v>1430230.9999999998</c:v>
                </c:pt>
                <c:pt idx="4">
                  <c:v>1521741.574</c:v>
                </c:pt>
                <c:pt idx="5">
                  <c:v>1581332.3219999999</c:v>
                </c:pt>
                <c:pt idx="6">
                  <c:v>1578480.4650000001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E-41A6-8F40-7372E2D0AE66}"/>
            </c:ext>
          </c:extLst>
        </c:ser>
        <c:ser>
          <c:idx val="2"/>
          <c:order val="1"/>
          <c:tx>
            <c:strRef>
              <c:f>auto!$C$20</c:f>
              <c:strCache>
                <c:ptCount val="1"/>
                <c:pt idx="0">
                  <c:v>Ingresos Propios ejercidos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auto!$A$21:$A$27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auto!$C$21:$C$27</c:f>
              <c:numCache>
                <c:formatCode>General</c:formatCode>
                <c:ptCount val="7"/>
                <c:pt idx="0">
                  <c:v>114038</c:v>
                </c:pt>
                <c:pt idx="1">
                  <c:v>97988.800000000003</c:v>
                </c:pt>
                <c:pt idx="2">
                  <c:v>111761.9</c:v>
                </c:pt>
                <c:pt idx="3">
                  <c:v>71903.7</c:v>
                </c:pt>
                <c:pt idx="4">
                  <c:v>51152.853000000003</c:v>
                </c:pt>
                <c:pt idx="5">
                  <c:v>49138.752</c:v>
                </c:pt>
                <c:pt idx="6">
                  <c:v>50314.159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E-41A6-8F40-7372E2D0A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auto!$D$20</c:f>
              <c:strCache>
                <c:ptCount val="1"/>
                <c:pt idx="0">
                  <c:v>Índice de Autofinancimiento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auto!$A$21:$A$27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auto!$D$21:$D$27</c:f>
              <c:numCache>
                <c:formatCode>General</c:formatCode>
                <c:ptCount val="7"/>
                <c:pt idx="0">
                  <c:v>7.8644439590956221</c:v>
                </c:pt>
                <c:pt idx="1">
                  <c:v>6.6311610866060953</c:v>
                </c:pt>
                <c:pt idx="2">
                  <c:v>7.8594236304997276</c:v>
                </c:pt>
                <c:pt idx="3">
                  <c:v>5.0274186477569014</c:v>
                </c:pt>
                <c:pt idx="4">
                  <c:v>3.3614677993939073</c:v>
                </c:pt>
                <c:pt idx="5">
                  <c:v>3.1074272824482243</c:v>
                </c:pt>
                <c:pt idx="6">
                  <c:v>3.1875059663788745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2E-41A6-8F40-7372E2D0A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capip!$B$20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capip!$A$21:$A$27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capip!$B$21:$B$27</c:f>
              <c:numCache>
                <c:formatCode>General</c:formatCode>
                <c:ptCount val="7"/>
                <c:pt idx="0">
                  <c:v>121799</c:v>
                </c:pt>
                <c:pt idx="1">
                  <c:v>118097.60000000001</c:v>
                </c:pt>
                <c:pt idx="2">
                  <c:v>115000</c:v>
                </c:pt>
                <c:pt idx="3">
                  <c:v>67000</c:v>
                </c:pt>
                <c:pt idx="4">
                  <c:v>52500</c:v>
                </c:pt>
                <c:pt idx="5">
                  <c:v>55000</c:v>
                </c:pt>
                <c:pt idx="6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B-4171-9328-C7724F02B6EA}"/>
            </c:ext>
          </c:extLst>
        </c:ser>
        <c:ser>
          <c:idx val="2"/>
          <c:order val="1"/>
          <c:tx>
            <c:strRef>
              <c:f>capip!$C$20</c:f>
              <c:strCache>
                <c:ptCount val="1"/>
                <c:pt idx="0">
                  <c:v>Ingresos Propios captados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capip!$A$21:$A$27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capip!$C$21:$C$27</c:f>
              <c:numCache>
                <c:formatCode>General</c:formatCode>
                <c:ptCount val="7"/>
                <c:pt idx="0">
                  <c:v>113831</c:v>
                </c:pt>
                <c:pt idx="1">
                  <c:v>113139.511</c:v>
                </c:pt>
                <c:pt idx="2">
                  <c:v>105208.6</c:v>
                </c:pt>
                <c:pt idx="3">
                  <c:v>60560.5</c:v>
                </c:pt>
                <c:pt idx="4">
                  <c:v>51638.898000000001</c:v>
                </c:pt>
                <c:pt idx="5">
                  <c:v>49482.362999999998</c:v>
                </c:pt>
                <c:pt idx="6">
                  <c:v>50568.584999999999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B-4171-9328-C7724F02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capip!$D$20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capip!$A$21:$A$27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capip!$D$21:$D$27</c:f>
              <c:numCache>
                <c:formatCode>General</c:formatCode>
                <c:ptCount val="7"/>
                <c:pt idx="0">
                  <c:v>93.458074368426665</c:v>
                </c:pt>
                <c:pt idx="1">
                  <c:v>95.801702151440836</c:v>
                </c:pt>
                <c:pt idx="2">
                  <c:v>91.48573913043478</c:v>
                </c:pt>
                <c:pt idx="3">
                  <c:v>90.388805970149249</c:v>
                </c:pt>
                <c:pt idx="4">
                  <c:v>98.359805714285713</c:v>
                </c:pt>
                <c:pt idx="5">
                  <c:v>89.967932727272725</c:v>
                </c:pt>
                <c:pt idx="6">
                  <c:v>91.942881818181817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B-4171-9328-C7724F02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cnpr!$B$20</c:f>
              <c:strCache>
                <c:ptCount val="1"/>
                <c:pt idx="0">
                  <c:v>Presupuesto reprogramado (partidas restringidas)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cnpr!$A$21:$A$27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cnpr!$B$21:$B$27</c:f>
              <c:numCache>
                <c:formatCode>General</c:formatCode>
                <c:ptCount val="7"/>
                <c:pt idx="0">
                  <c:v>1457806</c:v>
                </c:pt>
                <c:pt idx="1">
                  <c:v>1497810.8</c:v>
                </c:pt>
                <c:pt idx="2">
                  <c:v>1425249.5</c:v>
                </c:pt>
                <c:pt idx="3">
                  <c:v>1425327.2999999998</c:v>
                </c:pt>
                <c:pt idx="4">
                  <c:v>1524483.65</c:v>
                </c:pt>
                <c:pt idx="5">
                  <c:v>1587193.57</c:v>
                </c:pt>
                <c:pt idx="6">
                  <c:v>1583166.3060000001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6-40BD-A911-815D3A098E2A}"/>
            </c:ext>
          </c:extLst>
        </c:ser>
        <c:ser>
          <c:idx val="2"/>
          <c:order val="1"/>
          <c:tx>
            <c:strRef>
              <c:f>cnpr!$C$20</c:f>
              <c:strCache>
                <c:ptCount val="1"/>
                <c:pt idx="0">
                  <c:v>Presupuesto Ejercido
(Partidas Restringidas)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cnpr!$A$21:$A$27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cnpr!$C$21:$C$27</c:f>
              <c:numCache>
                <c:formatCode>General</c:formatCode>
                <c:ptCount val="7"/>
                <c:pt idx="0">
                  <c:v>1450045</c:v>
                </c:pt>
                <c:pt idx="1">
                  <c:v>1477702</c:v>
                </c:pt>
                <c:pt idx="2">
                  <c:v>1422011.4</c:v>
                </c:pt>
                <c:pt idx="3">
                  <c:v>1430230.9999999998</c:v>
                </c:pt>
                <c:pt idx="4">
                  <c:v>1521741.574</c:v>
                </c:pt>
                <c:pt idx="5">
                  <c:v>1581332.3219999999</c:v>
                </c:pt>
                <c:pt idx="6">
                  <c:v>1578480.4650000001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6-40BD-A911-815D3A09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cnpr!$D$20</c:f>
              <c:strCache>
                <c:ptCount val="1"/>
                <c:pt idx="0">
                  <c:v>Índice de Cumplimiento de Partidas Restringidas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cnpr!$A$21:$A$27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cnpr!$D$21:$D$27</c:f>
              <c:numCache>
                <c:formatCode>General</c:formatCode>
                <c:ptCount val="7"/>
                <c:pt idx="0">
                  <c:v>99.467624635925489</c:v>
                </c:pt>
                <c:pt idx="1">
                  <c:v>98.657453932098761</c:v>
                </c:pt>
                <c:pt idx="2">
                  <c:v>99.772804691389112</c:v>
                </c:pt>
                <c:pt idx="3">
                  <c:v>100.34404027762605</c:v>
                </c:pt>
                <c:pt idx="4">
                  <c:v>99.820130835775117</c:v>
                </c:pt>
                <c:pt idx="5">
                  <c:v>99.630716245908175</c:v>
                </c:pt>
                <c:pt idx="6">
                  <c:v>99.704020924255317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16-40BD-A911-815D3A09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absorcion!$A$5</c:f>
              <c:strCache>
                <c:ptCount val="1"/>
                <c:pt idx="0">
                  <c:v>ABSORCIÓN DE EGRESADOS DE SECUNDARIA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940-4C1E-BE85-F957EF5560FF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940-4C1E-BE85-F957EF5560FF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940-4C1E-BE85-F957EF5560FF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940-4C1E-BE85-F957EF5560FF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940-4C1E-BE85-F957EF5560FF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940-4C1E-BE85-F957EF5560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absorcion!$A$8:$A$14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absorcion!$B$8:$B$14</c:f>
              <c:numCache>
                <c:formatCode>0.00</c:formatCode>
                <c:ptCount val="7"/>
                <c:pt idx="0">
                  <c:v>6.9948257468689876</c:v>
                </c:pt>
                <c:pt idx="1">
                  <c:v>6.7917765054328934</c:v>
                </c:pt>
                <c:pt idx="2">
                  <c:v>6.5755004782569069</c:v>
                </c:pt>
                <c:pt idx="3">
                  <c:v>6.4057953167104937</c:v>
                </c:pt>
                <c:pt idx="4">
                  <c:v>6.120704312031398</c:v>
                </c:pt>
                <c:pt idx="5">
                  <c:v>5.8798564325685589</c:v>
                </c:pt>
                <c:pt idx="6">
                  <c:v>5.7563120080126753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940-4C1E-BE85-F957EF5560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matricula!$A$5</c:f>
              <c:strCache>
                <c:ptCount val="1"/>
                <c:pt idx="0">
                  <c:v>MATRÍCULA TOTAL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823-426F-8D14-0AC2FA06EB80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823-426F-8D14-0AC2FA06EB80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823-426F-8D14-0AC2FA06EB80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823-426F-8D14-0AC2FA06EB80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823-426F-8D14-0AC2FA06EB80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823-426F-8D14-0AC2FA06EB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matricula!$A$8:$A$14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matricula!$B$8:$B$14</c:f>
              <c:numCache>
                <c:formatCode>#,##0</c:formatCode>
                <c:ptCount val="7"/>
                <c:pt idx="0">
                  <c:v>303955</c:v>
                </c:pt>
                <c:pt idx="1">
                  <c:v>303464</c:v>
                </c:pt>
                <c:pt idx="2">
                  <c:v>301751</c:v>
                </c:pt>
                <c:pt idx="3">
                  <c:v>305246</c:v>
                </c:pt>
                <c:pt idx="4">
                  <c:v>307921</c:v>
                </c:pt>
                <c:pt idx="5">
                  <c:v>311816</c:v>
                </c:pt>
                <c:pt idx="6">
                  <c:v>307859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823-426F-8D14-0AC2FA06EB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capacidad!$A$5</c:f>
              <c:strCache>
                <c:ptCount val="1"/>
                <c:pt idx="0">
                  <c:v>APROVECHAMIENTO DE LA CAPACIDAD INSTALADA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83A-46F8-A3A8-0410B44CFCAB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83A-46F8-A3A8-0410B44CFCAB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83A-46F8-A3A8-0410B44CFCAB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83A-46F8-A3A8-0410B44CFCAB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83A-46F8-A3A8-0410B44CFCAB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83A-46F8-A3A8-0410B44CFC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capacidad!$A$8:$A$14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capacidad!$B$8:$B$14</c:f>
              <c:numCache>
                <c:formatCode>0.0</c:formatCode>
                <c:ptCount val="7"/>
                <c:pt idx="0">
                  <c:v>83.984029619805483</c:v>
                </c:pt>
                <c:pt idx="1">
                  <c:v>79.092994161801499</c:v>
                </c:pt>
                <c:pt idx="2">
                  <c:v>78.466559184522566</c:v>
                </c:pt>
                <c:pt idx="3">
                  <c:v>79.375390056168101</c:v>
                </c:pt>
                <c:pt idx="4">
                  <c:v>74.391428295322768</c:v>
                </c:pt>
                <c:pt idx="5">
                  <c:v>75.085725293777699</c:v>
                </c:pt>
                <c:pt idx="6">
                  <c:v>73.271848819497336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83A-46F8-A3A8-0410B44CFC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abandono!$A$5</c:f>
              <c:strCache>
                <c:ptCount val="1"/>
                <c:pt idx="0">
                  <c:v>ABANDONO ESCOLAR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FB3-4920-BB2D-0F165F67EAAE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FB3-4920-BB2D-0F165F67EAAE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FB3-4920-BB2D-0F165F67EAAE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FB3-4920-BB2D-0F165F67EAAE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FB3-4920-BB2D-0F165F67EAAE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FB3-4920-BB2D-0F165F67E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abandono!$A$8:$A$14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abandono!$B$8:$B$14</c:f>
              <c:numCache>
                <c:formatCode>0.0</c:formatCode>
                <c:ptCount val="7"/>
                <c:pt idx="0">
                  <c:v>18.967869329268495</c:v>
                </c:pt>
                <c:pt idx="1">
                  <c:v>18.128670362389165</c:v>
                </c:pt>
                <c:pt idx="2">
                  <c:v>17.534534574117522</c:v>
                </c:pt>
                <c:pt idx="3">
                  <c:v>17.855118955695261</c:v>
                </c:pt>
                <c:pt idx="4">
                  <c:v>18.622029445103294</c:v>
                </c:pt>
                <c:pt idx="5">
                  <c:v>17.601917374911103</c:v>
                </c:pt>
                <c:pt idx="6">
                  <c:v>16.319880955435263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FB3-4920-BB2D-0F165F67EA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reprobacion!$A$5</c:f>
              <c:strCache>
                <c:ptCount val="1"/>
                <c:pt idx="0">
                  <c:v>REPROBACIÓN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AC3-4BD7-B6FF-827E91DA166E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AC3-4BD7-B6FF-827E91DA166E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AC3-4BD7-B6FF-827E91DA166E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AC3-4BD7-B6FF-827E91DA166E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AC3-4BD7-B6FF-827E91DA166E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AC3-4BD7-B6FF-827E91DA16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reprobacion!$A$8:$A$14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reprobacion!$B$8:$B$14</c:f>
              <c:numCache>
                <c:formatCode>0.0</c:formatCode>
                <c:ptCount val="7"/>
                <c:pt idx="0">
                  <c:v>26.106167031303979</c:v>
                </c:pt>
                <c:pt idx="1">
                  <c:v>26.683890016608231</c:v>
                </c:pt>
                <c:pt idx="2">
                  <c:v>28.235531945213104</c:v>
                </c:pt>
                <c:pt idx="3">
                  <c:v>42.124057317704413</c:v>
                </c:pt>
                <c:pt idx="4">
                  <c:v>29.91384153727742</c:v>
                </c:pt>
                <c:pt idx="5">
                  <c:v>40.422236190573926</c:v>
                </c:pt>
                <c:pt idx="6">
                  <c:v>38.245105713979449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AC3-4BD7-B6FF-827E91DA16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eficienciat!$A$5</c:f>
              <c:strCache>
                <c:ptCount val="1"/>
                <c:pt idx="0">
                  <c:v>EFICIENCIA TERMINAL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697-4ABF-BED9-2C59C38B768F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697-4ABF-BED9-2C59C38B768F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697-4ABF-BED9-2C59C38B768F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697-4ABF-BED9-2C59C38B768F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697-4ABF-BED9-2C59C38B768F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697-4ABF-BED9-2C59C38B76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eficienciat!$A$8:$A$14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eficienciat!$B$8:$B$14</c:f>
              <c:numCache>
                <c:formatCode>0.0</c:formatCode>
                <c:ptCount val="7"/>
                <c:pt idx="0">
                  <c:v>46.427363368393927</c:v>
                </c:pt>
                <c:pt idx="1">
                  <c:v>48.03808424697057</c:v>
                </c:pt>
                <c:pt idx="2">
                  <c:v>48.253539048830923</c:v>
                </c:pt>
                <c:pt idx="3">
                  <c:v>48.868673291408641</c:v>
                </c:pt>
                <c:pt idx="4">
                  <c:v>48.588229576711861</c:v>
                </c:pt>
                <c:pt idx="5">
                  <c:v>49.173920620036675</c:v>
                </c:pt>
                <c:pt idx="6">
                  <c:v>50.182474621570293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697-4ABF-BED9-2C59C38B76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tasaegreso!$A$5</c:f>
              <c:strCache>
                <c:ptCount val="1"/>
                <c:pt idx="0">
                  <c:v>TASA DE EGRESO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29A-4E61-969B-59A756D7F136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29A-4E61-969B-59A756D7F136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29A-4E61-969B-59A756D7F1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lt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tasaegreso!$A$8:$A$14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tasaegreso!$B$9:$B$14</c:f>
              <c:numCache>
                <c:formatCode>0.0</c:formatCode>
                <c:ptCount val="3"/>
                <c:pt idx="0">
                  <c:v>54.005089867981546</c:v>
                </c:pt>
                <c:pt idx="1">
                  <c:v>54.439697246091569</c:v>
                </c:pt>
                <c:pt idx="2">
                  <c:v>54.238551133142174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29A-4E61-969B-59A756D7F1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353787</xdr:colOff>
      <xdr:row>0</xdr:row>
      <xdr:rowOff>81641</xdr:rowOff>
    </xdr:from>
    <xdr:to>
      <xdr:col>13</xdr:col>
      <xdr:colOff>108857</xdr:colOff>
      <xdr:row>26</xdr:row>
      <xdr:rowOff>217713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entidad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21394" y="81641"/>
              <a:ext cx="2041070" cy="7905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13606</xdr:colOff>
      <xdr:row>0</xdr:row>
      <xdr:rowOff>95250</xdr:rowOff>
    </xdr:from>
    <xdr:to>
      <xdr:col>1</xdr:col>
      <xdr:colOff>1102179</xdr:colOff>
      <xdr:row>2</xdr:row>
      <xdr:rowOff>121172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6" y="95250"/>
          <a:ext cx="1564823" cy="515779"/>
        </a:xfrm>
        <a:prstGeom prst="rect">
          <a:avLst/>
        </a:prstGeom>
      </xdr:spPr>
    </xdr:pic>
    <xdr:clientData/>
  </xdr:twoCellAnchor>
  <xdr:twoCellAnchor editAs="oneCell">
    <xdr:from>
      <xdr:col>1</xdr:col>
      <xdr:colOff>1170214</xdr:colOff>
      <xdr:row>0</xdr:row>
      <xdr:rowOff>122463</xdr:rowOff>
    </xdr:from>
    <xdr:to>
      <xdr:col>1</xdr:col>
      <xdr:colOff>1728107</xdr:colOff>
      <xdr:row>2</xdr:row>
      <xdr:rowOff>104183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464" y="122463"/>
          <a:ext cx="557893" cy="4715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60854</xdr:colOff>
      <xdr:row>6</xdr:row>
      <xdr:rowOff>15873</xdr:rowOff>
    </xdr:from>
    <xdr:to>
      <xdr:col>8</xdr:col>
      <xdr:colOff>928688</xdr:colOff>
      <xdr:row>15</xdr:row>
      <xdr:rowOff>25435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674687</xdr:colOff>
      <xdr:row>0</xdr:row>
      <xdr:rowOff>15875</xdr:rowOff>
    </xdr:from>
    <xdr:to>
      <xdr:col>1</xdr:col>
      <xdr:colOff>1023937</xdr:colOff>
      <xdr:row>2</xdr:row>
      <xdr:rowOff>87313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5875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116419</xdr:colOff>
      <xdr:row>6</xdr:row>
      <xdr:rowOff>23812</xdr:rowOff>
    </xdr:from>
    <xdr:to>
      <xdr:col>8</xdr:col>
      <xdr:colOff>527794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116419</xdr:colOff>
      <xdr:row>6</xdr:row>
      <xdr:rowOff>23812</xdr:rowOff>
    </xdr:from>
    <xdr:to>
      <xdr:col>8</xdr:col>
      <xdr:colOff>527794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12</xdr:row>
      <xdr:rowOff>28575</xdr:rowOff>
    </xdr:from>
    <xdr:to>
      <xdr:col>3</xdr:col>
      <xdr:colOff>304800</xdr:colOff>
      <xdr:row>27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0" y="20955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3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176212</xdr:rowOff>
    </xdr:from>
    <xdr:to>
      <xdr:col>3</xdr:col>
      <xdr:colOff>1516062</xdr:colOff>
      <xdr:row>36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</xdr:col>
      <xdr:colOff>361690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7150"/>
          <a:ext cx="2076190" cy="4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57150</xdr:rowOff>
    </xdr:from>
    <xdr:to>
      <xdr:col>3</xdr:col>
      <xdr:colOff>273050</xdr:colOff>
      <xdr:row>2</xdr:row>
      <xdr:rowOff>128588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1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516168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6190" cy="4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5" name="Imagen 4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116418</xdr:colOff>
      <xdr:row>6</xdr:row>
      <xdr:rowOff>23812</xdr:rowOff>
    </xdr:from>
    <xdr:to>
      <xdr:col>8</xdr:col>
      <xdr:colOff>527793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bases_datos/Indicadores/SistemaConsultaIndicador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Cat_entidad"/>
      <sheetName val="Tablero"/>
      <sheetName val="base_tablero"/>
      <sheetName val="serie_h"/>
      <sheetName val="Resumen_indicador_1"/>
      <sheetName val="COB"/>
      <sheetName val="Cobertura"/>
      <sheetName val="A-DEM"/>
      <sheetName val="Atención"/>
      <sheetName val="ABS"/>
      <sheetName val="Absorción"/>
      <sheetName val="MAT"/>
      <sheetName val="Matrícula"/>
      <sheetName val="ACI"/>
      <sheetName val="Aprovechamiento"/>
      <sheetName val="AE"/>
      <sheetName val="Abandono "/>
      <sheetName val="REP"/>
      <sheetName val="Reprobación"/>
      <sheetName val="ET"/>
      <sheetName val="TE"/>
      <sheetName val="Tasa de Egreso"/>
      <sheetName val="TIT"/>
      <sheetName val="Titulación"/>
      <sheetName val="COSTO"/>
      <sheetName val="Costo por alumno"/>
      <sheetName val="A-DOC"/>
      <sheetName val="Alumno_Docente"/>
      <sheetName val="Becas"/>
      <sheetName val="Becas_Conalep"/>
      <sheetName val="A-PC"/>
      <sheetName val="computadoras"/>
      <sheetName val="ADM-PC"/>
      <sheetName val="CAP"/>
      <sheetName val="SERV-TEC"/>
      <sheetName val="CERT-COMP"/>
      <sheetName val="BEC-EXT"/>
      <sheetName val="Eficiencia_terminal"/>
      <sheetName val="Becas_ext"/>
      <sheetName val="Alumno_PC"/>
      <sheetName val="Administrativo_PC "/>
      <sheetName val="COMPETENCIAS"/>
      <sheetName val="SERVICIOS"/>
      <sheetName val="SNB"/>
      <sheetName val="C-PSP "/>
      <sheetName val="EPRT"/>
      <sheetName val="EPR"/>
      <sheetName val="EGC"/>
      <sheetName val="EGI"/>
      <sheetName val="AUTOF"/>
      <sheetName val="CAIP"/>
      <sheetName val="CNPR"/>
    </sheetNames>
    <sheetDataSet>
      <sheetData sheetId="0" refreshError="1"/>
      <sheetData sheetId="1">
        <row r="2">
          <cell r="C2" t="str">
            <v>Nuevo León</v>
          </cell>
        </row>
      </sheetData>
      <sheetData sheetId="2" refreshError="1"/>
      <sheetData sheetId="3" refreshError="1"/>
      <sheetData sheetId="4" refreshError="1"/>
      <sheetData sheetId="5"/>
      <sheetData sheetId="6">
        <row r="2">
          <cell r="A2" t="str">
            <v>Sistema CONALEP</v>
          </cell>
        </row>
      </sheetData>
      <sheetData sheetId="7" refreshError="1"/>
      <sheetData sheetId="8">
        <row r="2">
          <cell r="A2" t="str">
            <v>Sistema CONALEP</v>
          </cell>
        </row>
      </sheetData>
      <sheetData sheetId="9" refreshError="1"/>
      <sheetData sheetId="10">
        <row r="2">
          <cell r="A2" t="str">
            <v>Sistema CONALEP</v>
          </cell>
        </row>
      </sheetData>
      <sheetData sheetId="11" refreshError="1"/>
      <sheetData sheetId="12">
        <row r="2">
          <cell r="A2" t="str">
            <v>Sistema CONALEP</v>
          </cell>
        </row>
      </sheetData>
      <sheetData sheetId="13" refreshError="1"/>
      <sheetData sheetId="14">
        <row r="2">
          <cell r="A2" t="str">
            <v>Sistema CONALEP</v>
          </cell>
        </row>
      </sheetData>
      <sheetData sheetId="15" refreshError="1"/>
      <sheetData sheetId="16">
        <row r="2">
          <cell r="A2" t="str">
            <v>Sistema CONALEP</v>
          </cell>
        </row>
      </sheetData>
      <sheetData sheetId="17" refreshError="1"/>
      <sheetData sheetId="18">
        <row r="2">
          <cell r="A2" t="str">
            <v>Sistema CONALEP</v>
          </cell>
        </row>
      </sheetData>
      <sheetData sheetId="19" refreshError="1"/>
      <sheetData sheetId="20">
        <row r="2">
          <cell r="A2" t="str">
            <v>Sistema CONALEP</v>
          </cell>
        </row>
      </sheetData>
      <sheetData sheetId="21">
        <row r="2">
          <cell r="A2" t="str">
            <v>Sistema CONALEP</v>
          </cell>
        </row>
      </sheetData>
      <sheetData sheetId="22" refreshError="1"/>
      <sheetData sheetId="23">
        <row r="2">
          <cell r="A2" t="str">
            <v>Sistema CONALEP</v>
          </cell>
        </row>
      </sheetData>
      <sheetData sheetId="24" refreshError="1"/>
      <sheetData sheetId="25">
        <row r="2">
          <cell r="A2" t="str">
            <v>Sistema CONALEP</v>
          </cell>
        </row>
      </sheetData>
      <sheetData sheetId="26" refreshError="1"/>
      <sheetData sheetId="27">
        <row r="2">
          <cell r="A2" t="str">
            <v>Sistema CONALEP</v>
          </cell>
        </row>
      </sheetData>
      <sheetData sheetId="28" refreshError="1"/>
      <sheetData sheetId="29">
        <row r="2">
          <cell r="A2" t="str">
            <v>Sistema CONALEP</v>
          </cell>
        </row>
      </sheetData>
      <sheetData sheetId="30" refreshError="1"/>
      <sheetData sheetId="31">
        <row r="2">
          <cell r="A2" t="str">
            <v>Sistema CONALEP</v>
          </cell>
        </row>
      </sheetData>
      <sheetData sheetId="32" refreshError="1"/>
      <sheetData sheetId="33">
        <row r="2">
          <cell r="A2" t="str">
            <v>Sistema CONALEP</v>
          </cell>
        </row>
      </sheetData>
      <sheetData sheetId="34">
        <row r="2">
          <cell r="A2" t="str">
            <v>Sistema CONALEP</v>
          </cell>
        </row>
      </sheetData>
      <sheetData sheetId="35">
        <row r="2">
          <cell r="A2" t="str">
            <v>Sistema CONALEP</v>
          </cell>
        </row>
      </sheetData>
      <sheetData sheetId="36">
        <row r="2">
          <cell r="A2" t="str">
            <v>Sistema CONALEP</v>
          </cell>
        </row>
      </sheetData>
      <sheetData sheetId="37">
        <row r="2">
          <cell r="A2" t="str">
            <v>Sistema CONALEP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Sistema CONALEP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521.419466782405" createdVersion="6" refreshedVersion="6" minRefreshableVersion="3" recordCount="238">
  <cacheSource type="worksheet">
    <worksheetSource ref="A1:BD239" sheet="base_general"/>
  </cacheSource>
  <cacheFields count="80">
    <cacheField name="sost" numFmtId="0">
      <sharedItems count="3">
        <s v="Estatal"/>
        <s v="Federal"/>
        <s v="Otro"/>
      </sharedItems>
    </cacheField>
    <cacheField name="cve" numFmtId="0">
      <sharedItems containsSemiMixedTypes="0" containsString="0" containsNumber="1" containsInteger="1" minValue="0" maxValue="33"/>
    </cacheField>
    <cacheField name="siglema" numFmtId="0">
      <sharedItems/>
    </cacheField>
    <cacheField name="entidad" numFmtId="0">
      <sharedItems count="34">
        <s v="Aguascalientes"/>
        <s v="Baja California"/>
        <s v="Baja California Sur"/>
        <s v="Campeche"/>
        <s v="Chiapas"/>
        <s v="Chihuahua"/>
        <s v="Ciudad de México"/>
        <s v="Coahuila de Zaragoza"/>
        <s v="Colima"/>
        <s v="Durango"/>
        <s v="Guanajuato"/>
        <s v="Guerrero"/>
        <s v="Hidalgo"/>
        <s v="Jalisco"/>
        <s v="México"/>
        <s v="Michoacán de Ocampo"/>
        <s v="Morelos"/>
        <s v="Nayarit"/>
        <s v="Nuevo León"/>
        <s v="Oaxaca"/>
        <s v="Puebla"/>
        <s v="Querétaro de Arteaga"/>
        <s v="Quintana Roo"/>
        <s v="San Luis Potosí"/>
        <s v="Sinaloa"/>
        <s v="Sonora"/>
        <s v="Tabasco"/>
        <s v="Tamaulipas"/>
        <s v="Tlaxcala"/>
        <s v="Veracruz llave"/>
        <s v="Yucatán"/>
        <s v="Zacatecas"/>
        <s v="Otros"/>
        <s v="Oficinas Nacionales"/>
      </sharedItems>
    </cacheField>
    <cacheField name="periodo" numFmtId="0">
      <sharedItems/>
    </cacheField>
    <cacheField name="Año" numFmtId="0">
      <sharedItems containsSemiMixedTypes="0" containsString="0" containsNumber="1" containsInteger="1" minValue="2012" maxValue="2018" count="7">
        <n v="2012"/>
        <n v="2013"/>
        <n v="2014"/>
        <n v="2015"/>
        <n v="2016"/>
        <n v="2017"/>
        <n v="2018"/>
      </sharedItems>
    </cacheField>
    <cacheField name="matricula" numFmtId="3">
      <sharedItems containsString="0" containsBlank="1" containsNumber="1" containsInteger="1" minValue="1538" maxValue="48591"/>
    </cacheField>
    <cacheField name="inscritos" numFmtId="3">
      <sharedItems containsString="0" containsBlank="1" containsNumber="1" containsInteger="1" minValue="572" maxValue="20621"/>
    </cacheField>
    <cacheField name="reinscritos" numFmtId="3">
      <sharedItems containsString="0" containsBlank="1" containsNumber="1" containsInteger="1" minValue="874" maxValue="29732"/>
    </cacheField>
    <cacheField name="egresec" numFmtId="3">
      <sharedItems containsString="0" containsBlank="1" containsNumber="1" containsInteger="1" minValue="8273" maxValue="291713"/>
    </cacheField>
    <cacheField name="aulas" numFmtId="3">
      <sharedItems containsString="0" containsBlank="1" containsNumber="1" containsInteger="1" minValue="17" maxValue="799"/>
    </cacheField>
    <cacheField name="talleres" numFmtId="3">
      <sharedItems containsString="0" containsBlank="1" containsNumber="1" containsInteger="1" minValue="5" maxValue="182"/>
    </cacheField>
    <cacheField name="laboratorios" numFmtId="3">
      <sharedItems containsString="0" containsBlank="1" containsNumber="1" containsInteger="1" minValue="1" maxValue="223"/>
    </cacheField>
    <cacheField name="alu_1517" numFmtId="3">
      <sharedItems containsString="0" containsBlank="1" containsNumber="1" containsInteger="1" minValue="1144" maxValue="41890"/>
    </cacheField>
    <cacheField name="pob_1517" numFmtId="3">
      <sharedItems containsString="0" containsBlank="1" containsNumber="1" minValue="37630.754876559426" maxValue="915661.71066119196"/>
    </cacheField>
    <cacheField name="aspirantes" numFmtId="3">
      <sharedItems containsString="0" containsBlank="1" containsNumber="1" containsInteger="1" minValue="671" maxValue="30447"/>
    </cacheField>
    <cacheField name="matricula_n" numFmtId="3">
      <sharedItems containsString="0" containsBlank="1" containsNumber="1" containsInteger="1" minValue="1552" maxValue="48591"/>
    </cacheField>
    <cacheField name="egre_n" numFmtId="3">
      <sharedItems containsString="0" containsBlank="1" containsNumber="1" containsInteger="1" minValue="305" maxValue="11056"/>
    </cacheField>
    <cacheField name="reprobados" numFmtId="3">
      <sharedItems containsString="0" containsBlank="1" containsNumber="1" containsInteger="1" minValue="329" maxValue="23772"/>
    </cacheField>
    <cacheField name="te_egre_5" numFmtId="3">
      <sharedItems containsString="0" containsBlank="1" containsNumber="1" containsInteger="1" minValue="297" maxValue="10025"/>
    </cacheField>
    <cacheField name="ni_te_5" numFmtId="3">
      <sharedItems containsString="0" containsBlank="1" containsNumber="1" containsInteger="1" minValue="585" maxValue="20185"/>
    </cacheField>
    <cacheField name="ni_et" numFmtId="3">
      <sharedItems containsString="0" containsBlank="1" containsNumber="1" containsInteger="1" minValue="585" maxValue="22526"/>
    </cacheField>
    <cacheField name="egre_et" numFmtId="3">
      <sharedItems containsString="0" containsBlank="1" containsNumber="1" containsInteger="1" minValue="260" maxValue="9450"/>
    </cacheField>
    <cacheField name="egre_tit" numFmtId="3">
      <sharedItems containsString="0" containsBlank="1" containsNumber="1" containsInteger="1" minValue="214" maxValue="9088"/>
    </cacheField>
    <cacheField name="titulados" numFmtId="3">
      <sharedItems containsString="0" containsBlank="1" containsNumber="1" containsInteger="1" minValue="201" maxValue="7895"/>
    </cacheField>
    <cacheField name="matcosto" numFmtId="3">
      <sharedItems containsString="0" containsBlank="1" containsNumber="1" containsInteger="1" minValue="1538" maxValue="48591"/>
    </cacheField>
    <cacheField name="presuejer" numFmtId="3">
      <sharedItems containsString="0" containsBlank="1" containsNumber="1" minValue="26873657" maxValue="760825417.91999996"/>
    </cacheField>
    <cacheField name="docentes" numFmtId="3">
      <sharedItems containsString="0" containsBlank="1" containsNumber="1" containsInteger="1" minValue="42" maxValue="2613"/>
    </cacheField>
    <cacheField name="matbecas1" numFmtId="3">
      <sharedItems containsString="0" containsBlank="1" containsNumber="1" containsInteger="1" minValue="1344" maxValue="43524"/>
    </cacheField>
    <cacheField name="becas1" numFmtId="3">
      <sharedItems containsString="0" containsBlank="1" containsNumber="1" containsInteger="1" minValue="6" maxValue="2124"/>
    </cacheField>
    <cacheField name="becas2" numFmtId="3">
      <sharedItems containsString="0" containsBlank="1" containsNumber="1" minValue="0" maxValue="9530"/>
    </cacheField>
    <cacheField name="pcedu" numFmtId="3">
      <sharedItems containsString="0" containsBlank="1" containsNumber="1" containsInteger="1" minValue="155" maxValue="4445"/>
    </cacheField>
    <cacheField name="pcadm" numFmtId="3">
      <sharedItems containsString="0" containsBlank="1" containsNumber="1" containsInteger="1" minValue="27" maxValue="1439"/>
    </cacheField>
    <cacheField name="peradm" numFmtId="3">
      <sharedItems containsString="0" containsBlank="1" containsNumber="1" containsInteger="1" minValue="57" maxValue="1373"/>
    </cacheField>
    <cacheField name="capacitados" numFmtId="0">
      <sharedItems containsString="0" containsBlank="1" containsNumber="1" containsInteger="1" minValue="19" maxValue="57312"/>
    </cacheField>
    <cacheField name="becaext" numFmtId="3">
      <sharedItems containsString="0" containsBlank="1" containsNumber="1" containsInteger="1" minValue="0" maxValue="7841"/>
    </cacheField>
    <cacheField name="ptlsnb" numFmtId="3">
      <sharedItems containsBlank="1" containsMixedTypes="1" containsNumber="1" containsInteger="1" minValue="0" maxValue="39"/>
    </cacheField>
    <cacheField name="alusnb" numFmtId="3">
      <sharedItems containsString="0" containsBlank="1" containsNumber="1" minValue="0" maxValue="48591"/>
    </cacheField>
    <cacheField name="certificacion" numFmtId="3">
      <sharedItems containsString="0" containsBlank="1" containsNumber="1" containsInteger="1" minValue="0" maxValue="67149"/>
    </cacheField>
    <cacheField name="servtec" numFmtId="3">
      <sharedItems containsString="0" containsBlank="1" containsNumber="1" containsInteger="1" minValue="15" maxValue="16429"/>
    </cacheField>
    <cacheField name="gastodoc" numFmtId="3">
      <sharedItems containsString="0" containsBlank="1" containsNumber="1" minValue="256402" maxValue="367837.29021000001"/>
    </cacheField>
    <cacheField name="gastoejercido" numFmtId="3">
      <sharedItems containsString="0" containsBlank="1" containsNumber="1" minValue="1422011.4" maxValue="1581332.3219999999"/>
    </cacheField>
    <cacheField name="presejertot" numFmtId="3">
      <sharedItems containsString="0" containsBlank="1" containsNumber="1" minValue="1422011.4" maxValue="1581332.3219999999"/>
    </cacheField>
    <cacheField name="presereptot" numFmtId="3">
      <sharedItems containsString="0" containsBlank="1" containsNumber="1" minValue="1425249.5" maxValue="1587194"/>
    </cacheField>
    <cacheField name="presejerf" numFmtId="3">
      <sharedItems containsString="0" containsBlank="1" containsNumber="1" minValue="1296985" maxValue="1532193.57"/>
    </cacheField>
    <cacheField name="presreprf" numFmtId="3">
      <sharedItems containsString="0" containsBlank="1" containsNumber="1" minValue="1296985" maxValue="1532193.57"/>
    </cacheField>
    <cacheField name="gcejercido" numFmtId="3">
      <sharedItems containsString="0" containsBlank="1" containsNumber="1" minValue="1334976.8" maxValue="1574833.44"/>
    </cacheField>
    <cacheField name="presrepgc" numFmtId="3">
      <sharedItems containsString="0" containsBlank="1" containsNumber="1" minValue="1339687.2" maxValue="1579519.281"/>
    </cacheField>
    <cacheField name="giejer" numFmtId="3">
      <sharedItems containsString="0" containsBlank="1" containsNumber="1" minValue="3647.0250000000001" maxValue="115068.5"/>
    </cacheField>
    <cacheField name="presrepgi" numFmtId="3">
      <sharedItems containsString="0" containsBlank="1" containsNumber="1" minValue="3647.0250000000001" maxValue="118119"/>
    </cacheField>
    <cacheField name="ipejer" numFmtId="3">
      <sharedItems containsString="0" containsBlank="1" containsNumber="1" minValue="49138.752" maxValue="114038"/>
    </cacheField>
    <cacheField name="presupejerip" numFmtId="3">
      <sharedItems containsString="0" containsBlank="1" containsNumber="1" minValue="1422011.4" maxValue="1581332.3219999999"/>
    </cacheField>
    <cacheField name="ipcapt" numFmtId="3">
      <sharedItems containsString="0" containsBlank="1" containsNumber="1" minValue="49482.362999999998" maxValue="113831"/>
    </cacheField>
    <cacheField name="ipprog" numFmtId="3">
      <sharedItems containsString="0" containsBlank="1" containsNumber="1" minValue="52500" maxValue="121799"/>
    </cacheField>
    <cacheField name="presejerpr" numFmtId="3">
      <sharedItems containsString="0" containsBlank="1" containsNumber="1" minValue="1422011.4" maxValue="1581332.3219999999"/>
    </cacheField>
    <cacheField name="presreppr" numFmtId="3">
      <sharedItems containsString="0" containsBlank="1" containsNumber="1" minValue="1425249.5" maxValue="1587193.57"/>
    </cacheField>
    <cacheField name="AE" numFmtId="0" formula="( 1-((matricula-inscritos+egre_n) /matricula_n))*100" databaseField="0"/>
    <cacheField name="TIT" numFmtId="0" formula="titulados/egre_tit*100" databaseField="0"/>
    <cacheField name="COB" numFmtId="0" formula="alu_1517/pob_1517*100" databaseField="0"/>
    <cacheField name="ATN" numFmtId="0" formula="inscritos/aspirantes*100" databaseField="0"/>
    <cacheField name="ABS" numFmtId="0" formula="inscritos/egresec*100" databaseField="0"/>
    <cacheField name="ACI" numFmtId="0" formula="(matricula/(aulas*40*2))*100" databaseField="0"/>
    <cacheField name="REP" numFmtId="0" formula="reprobados/matricula*100" databaseField="0"/>
    <cacheField name="TE" numFmtId="0" formula="te_egre_5/ni_te_5*100" databaseField="0"/>
    <cacheField name="COSTO" numFmtId="0" formula="IF(presuejer=0,0,presuejer/matcosto)" databaseField="0"/>
    <cacheField name="ET" numFmtId="0" formula="egre_et/ni_et*100" databaseField="0"/>
    <cacheField name="ADOC" numFmtId="0" formula="matricula/docentes" databaseField="0"/>
    <cacheField name="BECAS" numFmtId="0" formula="becas2/matricula*100" databaseField="0"/>
    <cacheField name="APC" numFmtId="0" formula="matricula/pcedu" databaseField="0"/>
    <cacheField name="ADMPC" numFmtId="0" formula="peradm/pcadm" databaseField="0"/>
    <cacheField name="BECEXT" numFmtId="0" formula="becaext/matricula*100" databaseField="0"/>
    <cacheField name="PCSINEMS" numFmtId="0" formula="alusnb/matricula*100" databaseField="0"/>
    <cacheField name="COSTO DOCENTE" numFmtId="0" formula="gastodoc/gastoejercido*100" databaseField="0"/>
    <cacheField name="EPRT" numFmtId="0" formula="presejertot/presereptot*100" databaseField="0"/>
    <cacheField name="EPR" numFmtId="0" formula="presejerf/presreprf*100" databaseField="0"/>
    <cacheField name="EGC" numFmtId="0" formula="gcejercido/presrepgc*100" databaseField="0"/>
    <cacheField name="EGI" numFmtId="0" formula="giejer/presrepgi*100" databaseField="0"/>
    <cacheField name="AUTO" numFmtId="0" formula="ipejer/presupejerip*100" databaseField="0"/>
    <cacheField name="CAPIP" numFmtId="0" formula="ipcapt/ipprog*100" databaseField="0"/>
    <cacheField name="CNPR" numFmtId="0" formula="presejerpr/presreppr*100" databaseField="0"/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x v="0"/>
    <n v="1"/>
    <s v="AGS"/>
    <x v="0"/>
    <s v="2012-2013"/>
    <x v="0"/>
    <n v="4876"/>
    <n v="1859"/>
    <n v="3017"/>
    <n v="20398"/>
    <n v="60"/>
    <n v="14"/>
    <n v="14"/>
    <n v="4112"/>
    <n v="74697.646290988239"/>
    <n v="4668"/>
    <n v="4767"/>
    <n v="1103"/>
    <n v="557"/>
    <m/>
    <m/>
    <n v="1624"/>
    <n v="963"/>
    <n v="944"/>
    <n v="909"/>
    <n v="4876"/>
    <n v="48953729"/>
    <n v="288"/>
    <n v="4506"/>
    <n v="314"/>
    <n v="808"/>
    <n v="403"/>
    <n v="62"/>
    <n v="113"/>
    <n v="6562"/>
    <n v="164"/>
    <s v="-"/>
    <m/>
    <m/>
    <m/>
    <m/>
    <m/>
    <m/>
    <m/>
    <m/>
    <m/>
    <m/>
    <m/>
    <m/>
    <m/>
    <m/>
    <m/>
    <m/>
    <m/>
    <m/>
    <m/>
  </r>
  <r>
    <x v="0"/>
    <n v="2"/>
    <s v="BC"/>
    <x v="1"/>
    <s v="2012-2013"/>
    <x v="0"/>
    <n v="8368"/>
    <n v="3424"/>
    <n v="4944"/>
    <n v="49802"/>
    <n v="119"/>
    <n v="21"/>
    <n v="25"/>
    <n v="6792"/>
    <n v="192090.84815481934"/>
    <n v="4392"/>
    <n v="8361"/>
    <n v="1726"/>
    <n v="2404"/>
    <m/>
    <m/>
    <n v="3324"/>
    <n v="1526"/>
    <n v="1452"/>
    <n v="1402"/>
    <n v="8368"/>
    <n v="107428039"/>
    <n v="404"/>
    <n v="7451"/>
    <n v="321"/>
    <n v="1279"/>
    <n v="696"/>
    <n v="133"/>
    <n v="199"/>
    <n v="20418"/>
    <n v="6"/>
    <s v="-"/>
    <m/>
    <m/>
    <n v="2528"/>
    <m/>
    <m/>
    <m/>
    <m/>
    <m/>
    <m/>
    <m/>
    <m/>
    <m/>
    <m/>
    <m/>
    <m/>
    <m/>
    <m/>
    <m/>
    <m/>
  </r>
  <r>
    <x v="0"/>
    <n v="3"/>
    <s v="BCS"/>
    <x v="2"/>
    <s v="2012-2013"/>
    <x v="0"/>
    <n v="1902"/>
    <n v="858"/>
    <n v="1044"/>
    <n v="10312"/>
    <n v="29"/>
    <n v="5"/>
    <n v="2"/>
    <n v="1482"/>
    <n v="37800.625728817657"/>
    <n v="1173"/>
    <n v="1691"/>
    <n v="450"/>
    <n v="558"/>
    <m/>
    <m/>
    <n v="813"/>
    <n v="420"/>
    <n v="361"/>
    <n v="337"/>
    <n v="1902"/>
    <n v="26873657"/>
    <n v="86"/>
    <n v="1583"/>
    <n v="160"/>
    <n v="436"/>
    <n v="217"/>
    <n v="36"/>
    <n v="61"/>
    <n v="3026"/>
    <n v="0"/>
    <s v="-"/>
    <m/>
    <m/>
    <m/>
    <m/>
    <m/>
    <m/>
    <m/>
    <m/>
    <m/>
    <m/>
    <m/>
    <m/>
    <m/>
    <m/>
    <m/>
    <m/>
    <m/>
    <m/>
    <m/>
  </r>
  <r>
    <x v="0"/>
    <n v="4"/>
    <s v="CAMP"/>
    <x v="3"/>
    <s v="2012-2013"/>
    <x v="0"/>
    <n v="1864"/>
    <n v="802"/>
    <n v="1062"/>
    <n v="12415"/>
    <n v="37"/>
    <n v="8"/>
    <n v="14"/>
    <n v="1334"/>
    <n v="49910.405898190787"/>
    <n v="1018"/>
    <n v="1773"/>
    <n v="323"/>
    <n v="515"/>
    <m/>
    <m/>
    <n v="701"/>
    <n v="274"/>
    <n v="268"/>
    <n v="256"/>
    <n v="1864"/>
    <n v="32707759"/>
    <n v="113"/>
    <n v="1594"/>
    <n v="128"/>
    <n v="417"/>
    <n v="264"/>
    <n v="29"/>
    <n v="70"/>
    <n v="2301"/>
    <n v="68"/>
    <n v="1"/>
    <m/>
    <m/>
    <m/>
    <m/>
    <m/>
    <m/>
    <m/>
    <m/>
    <m/>
    <m/>
    <m/>
    <m/>
    <m/>
    <m/>
    <m/>
    <m/>
    <m/>
    <m/>
    <m/>
  </r>
  <r>
    <x v="0"/>
    <n v="7"/>
    <s v="CHIAP"/>
    <x v="4"/>
    <s v="2012-2013"/>
    <x v="0"/>
    <n v="7730"/>
    <n v="2882"/>
    <n v="4848"/>
    <n v="85110"/>
    <n v="118"/>
    <n v="16"/>
    <n v="42"/>
    <n v="5618"/>
    <n v="336550.24744312256"/>
    <n v="4214"/>
    <n v="7326"/>
    <n v="1395"/>
    <n v="1428"/>
    <m/>
    <m/>
    <n v="2390"/>
    <n v="1305"/>
    <n v="1230"/>
    <n v="1169"/>
    <n v="7730"/>
    <n v="122421262"/>
    <n v="479"/>
    <n v="6799"/>
    <n v="254"/>
    <n v="866"/>
    <n v="666"/>
    <n v="96"/>
    <n v="215"/>
    <n v="5593"/>
    <n v="0"/>
    <s v="-"/>
    <m/>
    <m/>
    <m/>
    <m/>
    <m/>
    <m/>
    <m/>
    <m/>
    <m/>
    <m/>
    <m/>
    <m/>
    <m/>
    <m/>
    <m/>
    <m/>
    <m/>
    <m/>
    <m/>
  </r>
  <r>
    <x v="0"/>
    <n v="8"/>
    <s v="CHIH"/>
    <x v="5"/>
    <s v="2012-2013"/>
    <x v="0"/>
    <n v="9183"/>
    <n v="4195"/>
    <n v="4988"/>
    <n v="50851"/>
    <n v="136"/>
    <n v="20"/>
    <n v="36"/>
    <n v="7611"/>
    <n v="201025.68902505681"/>
    <n v="5056"/>
    <n v="8606"/>
    <n v="1685"/>
    <n v="2856"/>
    <m/>
    <m/>
    <n v="3172"/>
    <n v="1499"/>
    <n v="1626"/>
    <n v="1561"/>
    <n v="9183"/>
    <n v="117528205"/>
    <n v="573"/>
    <n v="7644"/>
    <n v="427"/>
    <n v="1595"/>
    <n v="866"/>
    <n v="152"/>
    <n v="217"/>
    <n v="17438"/>
    <n v="429"/>
    <s v="-"/>
    <m/>
    <m/>
    <n v="1190"/>
    <m/>
    <m/>
    <m/>
    <m/>
    <m/>
    <m/>
    <m/>
    <m/>
    <m/>
    <m/>
    <m/>
    <m/>
    <m/>
    <m/>
    <m/>
    <m/>
  </r>
  <r>
    <x v="1"/>
    <n v="9"/>
    <s v="CDMX"/>
    <x v="6"/>
    <s v="2012-2013"/>
    <x v="0"/>
    <n v="43673"/>
    <n v="17932"/>
    <n v="25741"/>
    <n v="130411"/>
    <n v="537"/>
    <n v="95"/>
    <n v="175"/>
    <n v="32353"/>
    <n v="423138.95799915184"/>
    <n v="23573"/>
    <n v="44765"/>
    <n v="8530"/>
    <n v="15631"/>
    <m/>
    <m/>
    <n v="19638"/>
    <n v="7474"/>
    <n v="7037"/>
    <n v="4977"/>
    <m/>
    <m/>
    <n v="2203"/>
    <n v="39166"/>
    <n v="882"/>
    <n v="6876"/>
    <n v="3057"/>
    <n v="718"/>
    <n v="1261"/>
    <n v="22808"/>
    <n v="201"/>
    <n v="1"/>
    <m/>
    <m/>
    <m/>
    <m/>
    <m/>
    <m/>
    <m/>
    <m/>
    <m/>
    <m/>
    <m/>
    <m/>
    <m/>
    <m/>
    <m/>
    <m/>
    <m/>
    <m/>
    <m/>
  </r>
  <r>
    <x v="0"/>
    <n v="5"/>
    <s v="COAH"/>
    <x v="7"/>
    <s v="2012-2013"/>
    <x v="0"/>
    <n v="8071"/>
    <n v="3210"/>
    <n v="4861"/>
    <n v="40260"/>
    <n v="133"/>
    <n v="31"/>
    <n v="42"/>
    <n v="7126"/>
    <n v="162290.780422715"/>
    <n v="5111"/>
    <n v="7911"/>
    <n v="1734"/>
    <n v="1484"/>
    <m/>
    <m/>
    <n v="3118"/>
    <n v="1594"/>
    <n v="1643"/>
    <n v="1635"/>
    <n v="8071"/>
    <n v="116866888"/>
    <n v="438"/>
    <n v="7197"/>
    <n v="513"/>
    <n v="1404"/>
    <n v="774"/>
    <n v="121"/>
    <n v="223"/>
    <n v="13884"/>
    <n v="104"/>
    <n v="2"/>
    <m/>
    <m/>
    <m/>
    <m/>
    <m/>
    <m/>
    <m/>
    <m/>
    <m/>
    <m/>
    <m/>
    <m/>
    <m/>
    <m/>
    <m/>
    <m/>
    <m/>
    <m/>
    <m/>
  </r>
  <r>
    <x v="0"/>
    <n v="6"/>
    <s v="COL"/>
    <x v="8"/>
    <s v="2012-2013"/>
    <x v="0"/>
    <n v="1864"/>
    <n v="837"/>
    <n v="1027"/>
    <n v="9463"/>
    <n v="33"/>
    <n v="5"/>
    <n v="10"/>
    <n v="1145"/>
    <n v="37652.050005981437"/>
    <n v="1083"/>
    <n v="1765"/>
    <n v="324"/>
    <n v="818"/>
    <m/>
    <m/>
    <n v="659"/>
    <n v="299"/>
    <n v="239"/>
    <n v="211"/>
    <n v="1864"/>
    <n v="33361684"/>
    <n v="131"/>
    <n v="1513"/>
    <n v="105"/>
    <n v="180"/>
    <n v="258"/>
    <n v="44"/>
    <n v="59"/>
    <n v="4285"/>
    <n v="25"/>
    <n v="5"/>
    <m/>
    <m/>
    <m/>
    <m/>
    <m/>
    <m/>
    <m/>
    <m/>
    <m/>
    <m/>
    <m/>
    <m/>
    <m/>
    <m/>
    <m/>
    <m/>
    <m/>
    <m/>
    <m/>
  </r>
  <r>
    <x v="0"/>
    <n v="10"/>
    <s v="DGO"/>
    <x v="9"/>
    <s v="2012-2013"/>
    <x v="0"/>
    <n v="2386"/>
    <n v="1103"/>
    <n v="1283"/>
    <n v="26707"/>
    <n v="46"/>
    <n v="14"/>
    <n v="12"/>
    <n v="1984"/>
    <n v="103877.16130392933"/>
    <n v="1409"/>
    <n v="2350"/>
    <n v="420"/>
    <n v="733"/>
    <m/>
    <m/>
    <n v="1057"/>
    <n v="389"/>
    <n v="414"/>
    <n v="346"/>
    <n v="2386"/>
    <n v="31954556"/>
    <n v="163"/>
    <n v="2108"/>
    <n v="224"/>
    <n v="499"/>
    <n v="254"/>
    <n v="38"/>
    <n v="62"/>
    <n v="9014"/>
    <n v="63"/>
    <s v="-"/>
    <m/>
    <m/>
    <m/>
    <m/>
    <m/>
    <m/>
    <m/>
    <m/>
    <m/>
    <m/>
    <m/>
    <m/>
    <m/>
    <m/>
    <m/>
    <m/>
    <m/>
    <m/>
    <m/>
  </r>
  <r>
    <x v="0"/>
    <n v="11"/>
    <s v="GTO"/>
    <x v="10"/>
    <s v="2012-2013"/>
    <x v="0"/>
    <n v="16619"/>
    <n v="6715"/>
    <n v="9904"/>
    <n v="90823"/>
    <n v="218"/>
    <n v="51"/>
    <n v="74"/>
    <n v="14073"/>
    <n v="350740.06544113893"/>
    <n v="10612"/>
    <n v="15961"/>
    <n v="3801"/>
    <n v="3852"/>
    <m/>
    <m/>
    <n v="5966"/>
    <n v="3545"/>
    <n v="3234"/>
    <n v="3066"/>
    <n v="16619"/>
    <n v="186737077"/>
    <n v="942"/>
    <n v="14901"/>
    <n v="634"/>
    <n v="2604"/>
    <n v="1787"/>
    <n v="227"/>
    <n v="379"/>
    <n v="33636"/>
    <n v="233"/>
    <n v="3"/>
    <m/>
    <m/>
    <n v="9342"/>
    <m/>
    <m/>
    <m/>
    <m/>
    <m/>
    <m/>
    <m/>
    <m/>
    <m/>
    <m/>
    <m/>
    <m/>
    <m/>
    <m/>
    <m/>
    <m/>
  </r>
  <r>
    <x v="0"/>
    <n v="12"/>
    <s v="GRO"/>
    <x v="11"/>
    <s v="2012-2013"/>
    <x v="0"/>
    <n v="7047"/>
    <n v="2844"/>
    <n v="4203"/>
    <n v="59586"/>
    <n v="117"/>
    <n v="30"/>
    <n v="38"/>
    <n v="5657"/>
    <n v="229727.1363150301"/>
    <n v="4087"/>
    <n v="7093"/>
    <n v="1393"/>
    <n v="2304"/>
    <m/>
    <m/>
    <n v="2925"/>
    <n v="1318"/>
    <n v="881"/>
    <n v="733"/>
    <n v="7047"/>
    <n v="101478941"/>
    <n v="334"/>
    <n v="6549"/>
    <n v="310"/>
    <n v="1520"/>
    <n v="509"/>
    <n v="139"/>
    <n v="228"/>
    <n v="4454"/>
    <n v="99"/>
    <s v="-"/>
    <m/>
    <m/>
    <m/>
    <m/>
    <m/>
    <m/>
    <m/>
    <m/>
    <m/>
    <m/>
    <m/>
    <m/>
    <m/>
    <m/>
    <m/>
    <m/>
    <m/>
    <m/>
    <m/>
  </r>
  <r>
    <x v="0"/>
    <n v="13"/>
    <s v="HGO"/>
    <x v="12"/>
    <s v="2012-2013"/>
    <x v="0"/>
    <n v="3690"/>
    <n v="1523"/>
    <n v="2167"/>
    <n v="47292"/>
    <n v="60"/>
    <n v="28"/>
    <n v="23"/>
    <n v="2872"/>
    <n v="160589.72081369814"/>
    <n v="1954"/>
    <n v="3694"/>
    <n v="787"/>
    <n v="967"/>
    <m/>
    <m/>
    <n v="1668"/>
    <n v="719"/>
    <n v="750"/>
    <n v="744"/>
    <n v="3690"/>
    <n v="49863435"/>
    <n v="217"/>
    <n v="3317"/>
    <n v="180"/>
    <n v="614"/>
    <n v="347"/>
    <n v="38"/>
    <n v="137"/>
    <n v="2326"/>
    <n v="86"/>
    <s v="-"/>
    <m/>
    <m/>
    <m/>
    <m/>
    <m/>
    <m/>
    <m/>
    <m/>
    <m/>
    <m/>
    <m/>
    <m/>
    <m/>
    <m/>
    <m/>
    <m/>
    <m/>
    <m/>
    <m/>
  </r>
  <r>
    <x v="0"/>
    <n v="14"/>
    <s v="JAL"/>
    <x v="13"/>
    <s v="2012-2013"/>
    <x v="0"/>
    <n v="15407"/>
    <n v="6114"/>
    <n v="9293"/>
    <n v="106909"/>
    <n v="249"/>
    <n v="37"/>
    <n v="70"/>
    <n v="11805"/>
    <n v="435752.90556573274"/>
    <n v="10075"/>
    <n v="15218"/>
    <n v="3332"/>
    <n v="3293"/>
    <m/>
    <m/>
    <n v="5916"/>
    <n v="2987"/>
    <n v="3123"/>
    <n v="3033"/>
    <n v="15407"/>
    <n v="201017410"/>
    <n v="885"/>
    <n v="13655"/>
    <n v="583"/>
    <n v="2987"/>
    <n v="1888"/>
    <n v="272"/>
    <n v="463"/>
    <n v="34114"/>
    <n v="580"/>
    <n v="2"/>
    <m/>
    <m/>
    <n v="479"/>
    <m/>
    <m/>
    <m/>
    <m/>
    <m/>
    <m/>
    <m/>
    <m/>
    <m/>
    <m/>
    <m/>
    <m/>
    <m/>
    <m/>
    <m/>
    <m/>
  </r>
  <r>
    <x v="0"/>
    <n v="15"/>
    <s v="MEX"/>
    <x v="14"/>
    <s v="2012-2013"/>
    <x v="0"/>
    <n v="48217"/>
    <n v="19660"/>
    <n v="28557"/>
    <n v="242886"/>
    <n v="723"/>
    <n v="133"/>
    <n v="217"/>
    <n v="37457"/>
    <n v="905523.85712835006"/>
    <n v="25023"/>
    <n v="48565"/>
    <n v="10484"/>
    <n v="11460"/>
    <m/>
    <m/>
    <n v="22509"/>
    <n v="9088"/>
    <n v="8630"/>
    <n v="6876"/>
    <n v="48217"/>
    <n v="592551256"/>
    <n v="2613"/>
    <n v="42988"/>
    <n v="1595"/>
    <n v="9326"/>
    <n v="3996"/>
    <n v="909"/>
    <n v="1317"/>
    <n v="44733"/>
    <n v="670"/>
    <n v="7"/>
    <m/>
    <m/>
    <n v="2000"/>
    <m/>
    <m/>
    <m/>
    <m/>
    <m/>
    <m/>
    <m/>
    <m/>
    <m/>
    <m/>
    <m/>
    <m/>
    <m/>
    <m/>
    <m/>
    <m/>
  </r>
  <r>
    <x v="0"/>
    <n v="16"/>
    <s v="MICH"/>
    <x v="15"/>
    <s v="2012-2013"/>
    <x v="0"/>
    <n v="12293"/>
    <n v="5099"/>
    <n v="7194"/>
    <n v="63423"/>
    <n v="237"/>
    <n v="48"/>
    <n v="62"/>
    <n v="9265"/>
    <n v="270428.32494369015"/>
    <n v="6739"/>
    <n v="12071"/>
    <n v="2619"/>
    <n v="2039"/>
    <m/>
    <m/>
    <n v="4986"/>
    <n v="2285"/>
    <n v="2112"/>
    <n v="1958"/>
    <n v="12293"/>
    <n v="163225447"/>
    <n v="490"/>
    <n v="10820"/>
    <n v="450"/>
    <n v="2214"/>
    <n v="940"/>
    <n v="196"/>
    <n v="357"/>
    <n v="7708"/>
    <n v="150"/>
    <s v="-"/>
    <m/>
    <m/>
    <m/>
    <m/>
    <m/>
    <m/>
    <m/>
    <m/>
    <m/>
    <m/>
    <m/>
    <m/>
    <m/>
    <m/>
    <m/>
    <m/>
    <m/>
    <m/>
    <m/>
  </r>
  <r>
    <x v="0"/>
    <n v="17"/>
    <s v="MOR"/>
    <x v="16"/>
    <s v="2012-2013"/>
    <x v="0"/>
    <n v="5012"/>
    <n v="2002"/>
    <n v="3010"/>
    <n v="30555"/>
    <n v="60"/>
    <n v="17"/>
    <n v="12"/>
    <n v="4234"/>
    <n v="104617.93567797635"/>
    <n v="3222"/>
    <n v="5052"/>
    <n v="1155"/>
    <n v="803"/>
    <m/>
    <m/>
    <n v="2032"/>
    <n v="1059"/>
    <n v="962"/>
    <n v="809"/>
    <n v="5012"/>
    <n v="56023818"/>
    <n v="252"/>
    <n v="4630"/>
    <n v="266"/>
    <n v="988"/>
    <n v="515"/>
    <n v="77"/>
    <n v="106"/>
    <n v="5342"/>
    <n v="8"/>
    <n v="2"/>
    <m/>
    <m/>
    <m/>
    <m/>
    <m/>
    <m/>
    <m/>
    <m/>
    <m/>
    <m/>
    <m/>
    <m/>
    <m/>
    <m/>
    <m/>
    <m/>
    <m/>
    <m/>
    <m/>
  </r>
  <r>
    <x v="0"/>
    <n v="18"/>
    <s v="NAY"/>
    <x v="17"/>
    <s v="2012-2013"/>
    <x v="0"/>
    <n v="3043"/>
    <n v="1267"/>
    <n v="1776"/>
    <n v="17116"/>
    <n v="35"/>
    <n v="7"/>
    <n v="7"/>
    <n v="2756"/>
    <n v="65043.64849579391"/>
    <n v="1645"/>
    <n v="3029"/>
    <n v="727"/>
    <n v="966"/>
    <m/>
    <m/>
    <n v="1259"/>
    <n v="692"/>
    <n v="504"/>
    <n v="488"/>
    <n v="3043"/>
    <n v="42086753"/>
    <n v="122"/>
    <n v="2727"/>
    <n v="141"/>
    <n v="476"/>
    <n v="334"/>
    <n v="34"/>
    <n v="75"/>
    <n v="1997"/>
    <n v="1"/>
    <s v="-"/>
    <m/>
    <m/>
    <m/>
    <m/>
    <m/>
    <m/>
    <m/>
    <m/>
    <m/>
    <m/>
    <m/>
    <m/>
    <m/>
    <m/>
    <m/>
    <m/>
    <m/>
    <m/>
    <m/>
  </r>
  <r>
    <x v="0"/>
    <n v="19"/>
    <s v="NL"/>
    <x v="18"/>
    <s v="2012-2013"/>
    <x v="0"/>
    <n v="16396"/>
    <n v="7296"/>
    <n v="9100"/>
    <n v="71017"/>
    <n v="184"/>
    <n v="49"/>
    <n v="60"/>
    <n v="13599"/>
    <n v="256685.14683603484"/>
    <n v="9824"/>
    <n v="15337"/>
    <n v="3317"/>
    <n v="4523"/>
    <m/>
    <m/>
    <n v="6548"/>
    <n v="3069"/>
    <n v="2744"/>
    <n v="2658"/>
    <n v="16396"/>
    <n v="163658445"/>
    <n v="880"/>
    <n v="13728"/>
    <n v="602"/>
    <n v="1509"/>
    <n v="1827"/>
    <n v="223"/>
    <n v="264"/>
    <n v="57312"/>
    <n v="1562"/>
    <n v="2"/>
    <m/>
    <m/>
    <n v="847"/>
    <m/>
    <m/>
    <m/>
    <m/>
    <m/>
    <m/>
    <m/>
    <m/>
    <m/>
    <m/>
    <m/>
    <m/>
    <m/>
    <m/>
    <m/>
    <m/>
  </r>
  <r>
    <x v="1"/>
    <n v="20"/>
    <s v="OAX"/>
    <x v="19"/>
    <s v="2012-2013"/>
    <x v="0"/>
    <n v="6750"/>
    <n v="2691"/>
    <n v="4059"/>
    <n v="64635"/>
    <n v="108"/>
    <n v="12"/>
    <n v="32"/>
    <n v="5279"/>
    <n v="244700.14959654724"/>
    <n v="3569"/>
    <n v="6489"/>
    <n v="1288"/>
    <n v="1939"/>
    <m/>
    <m/>
    <n v="2520"/>
    <n v="1152"/>
    <n v="1231"/>
    <n v="1041"/>
    <m/>
    <m/>
    <n v="405"/>
    <n v="5995"/>
    <n v="228"/>
    <n v="760"/>
    <n v="460"/>
    <n v="79"/>
    <n v="202"/>
    <n v="2163"/>
    <n v="10"/>
    <s v="-"/>
    <m/>
    <m/>
    <m/>
    <m/>
    <m/>
    <m/>
    <m/>
    <m/>
    <m/>
    <m/>
    <m/>
    <m/>
    <m/>
    <m/>
    <m/>
    <m/>
    <m/>
    <m/>
    <m/>
  </r>
  <r>
    <x v="0"/>
    <n v="21"/>
    <s v="PUE"/>
    <x v="20"/>
    <s v="2012-2013"/>
    <x v="0"/>
    <n v="7539"/>
    <n v="2816"/>
    <n v="4723"/>
    <n v="98190"/>
    <n v="144"/>
    <n v="39"/>
    <n v="55"/>
    <n v="6383"/>
    <n v="368172.44746360031"/>
    <n v="4459"/>
    <n v="7684"/>
    <n v="1841"/>
    <n v="1043"/>
    <m/>
    <m/>
    <n v="3020"/>
    <n v="1621"/>
    <n v="1588"/>
    <n v="1530"/>
    <n v="7539"/>
    <n v="117736744"/>
    <n v="411"/>
    <n v="7195"/>
    <n v="295"/>
    <n v="1536"/>
    <n v="1035"/>
    <n v="205"/>
    <n v="200"/>
    <n v="9486"/>
    <n v="37"/>
    <n v="2"/>
    <m/>
    <m/>
    <m/>
    <m/>
    <m/>
    <m/>
    <m/>
    <m/>
    <m/>
    <m/>
    <m/>
    <m/>
    <m/>
    <m/>
    <m/>
    <m/>
    <m/>
    <m/>
    <m/>
  </r>
  <r>
    <x v="0"/>
    <n v="22"/>
    <s v="QRO"/>
    <x v="21"/>
    <s v="2012-2013"/>
    <x v="0"/>
    <n v="3014"/>
    <n v="1219"/>
    <n v="1795"/>
    <n v="28090"/>
    <n v="44"/>
    <n v="9"/>
    <n v="21"/>
    <n v="2530"/>
    <n v="113259.35666997568"/>
    <n v="2367"/>
    <n v="2914"/>
    <n v="682"/>
    <n v="701"/>
    <m/>
    <m/>
    <n v="1063"/>
    <n v="606"/>
    <n v="674"/>
    <n v="626"/>
    <n v="3014"/>
    <n v="36057782"/>
    <n v="235"/>
    <n v="2763"/>
    <n v="206"/>
    <n v="527"/>
    <n v="283"/>
    <n v="62"/>
    <n v="82"/>
    <n v="6562"/>
    <n v="83"/>
    <s v="-"/>
    <m/>
    <m/>
    <m/>
    <m/>
    <m/>
    <m/>
    <m/>
    <m/>
    <m/>
    <m/>
    <m/>
    <m/>
    <m/>
    <m/>
    <m/>
    <m/>
    <m/>
    <m/>
    <m/>
  </r>
  <r>
    <x v="0"/>
    <n v="23"/>
    <s v="QROO"/>
    <x v="22"/>
    <s v="2012-2013"/>
    <x v="0"/>
    <n v="8685"/>
    <n v="3687"/>
    <n v="4998"/>
    <n v="22070"/>
    <n v="104"/>
    <n v="16"/>
    <n v="29"/>
    <n v="6630"/>
    <n v="79915.394881891494"/>
    <n v="4757"/>
    <n v="8310"/>
    <n v="2143"/>
    <n v="1713"/>
    <m/>
    <m/>
    <n v="3615"/>
    <n v="1943"/>
    <n v="1543"/>
    <n v="1453"/>
    <n v="8685"/>
    <n v="79228139"/>
    <n v="424"/>
    <n v="7656"/>
    <n v="248"/>
    <n v="882"/>
    <n v="704"/>
    <n v="76"/>
    <n v="126"/>
    <n v="12321"/>
    <n v="16"/>
    <s v="-"/>
    <m/>
    <m/>
    <m/>
    <m/>
    <m/>
    <m/>
    <m/>
    <m/>
    <m/>
    <m/>
    <m/>
    <m/>
    <m/>
    <m/>
    <m/>
    <m/>
    <m/>
    <m/>
    <m/>
  </r>
  <r>
    <x v="0"/>
    <n v="24"/>
    <s v="SLP"/>
    <x v="23"/>
    <s v="2012-2013"/>
    <x v="0"/>
    <n v="5478"/>
    <n v="2196"/>
    <n v="3282"/>
    <n v="44949"/>
    <n v="84"/>
    <n v="24"/>
    <n v="28"/>
    <n v="4489"/>
    <n v="162721.95294879421"/>
    <n v="2938"/>
    <n v="5457"/>
    <n v="1063"/>
    <n v="1915"/>
    <m/>
    <m/>
    <n v="2168"/>
    <n v="951"/>
    <n v="882"/>
    <n v="826"/>
    <n v="5478"/>
    <n v="68158288"/>
    <n v="341"/>
    <n v="4763"/>
    <n v="276"/>
    <n v="760"/>
    <n v="445"/>
    <n v="169"/>
    <n v="147"/>
    <n v="10960"/>
    <n v="170"/>
    <s v="-"/>
    <m/>
    <m/>
    <m/>
    <m/>
    <m/>
    <m/>
    <m/>
    <m/>
    <m/>
    <m/>
    <m/>
    <m/>
    <m/>
    <m/>
    <m/>
    <m/>
    <m/>
    <m/>
    <m/>
  </r>
  <r>
    <x v="0"/>
    <n v="25"/>
    <s v="SIN"/>
    <x v="24"/>
    <s v="2012-2013"/>
    <x v="0"/>
    <n v="9564"/>
    <n v="3935"/>
    <n v="5629"/>
    <n v="45264"/>
    <n v="171"/>
    <n v="40"/>
    <n v="44"/>
    <n v="8117"/>
    <n v="166975.11134791601"/>
    <n v="4827"/>
    <n v="9080"/>
    <n v="2190"/>
    <n v="2430"/>
    <m/>
    <m/>
    <n v="3176"/>
    <n v="2090"/>
    <n v="2057"/>
    <n v="2052"/>
    <n v="9564"/>
    <n v="173106212"/>
    <n v="590"/>
    <n v="8408"/>
    <n v="494"/>
    <n v="1849"/>
    <n v="957"/>
    <n v="197"/>
    <n v="405"/>
    <n v="11683"/>
    <n v="93"/>
    <s v="-"/>
    <m/>
    <m/>
    <m/>
    <m/>
    <m/>
    <m/>
    <m/>
    <m/>
    <m/>
    <m/>
    <m/>
    <m/>
    <m/>
    <m/>
    <m/>
    <m/>
    <m/>
    <m/>
    <m/>
  </r>
  <r>
    <x v="0"/>
    <n v="26"/>
    <s v="SON"/>
    <x v="25"/>
    <s v="2012-2013"/>
    <x v="0"/>
    <n v="12561"/>
    <n v="5124"/>
    <n v="7437"/>
    <n v="42230"/>
    <n v="223"/>
    <n v="45"/>
    <n v="60"/>
    <n v="10479"/>
    <n v="156315.86238266551"/>
    <n v="5531"/>
    <n v="13196"/>
    <n v="2333"/>
    <n v="5010"/>
    <m/>
    <m/>
    <n v="5253"/>
    <n v="2121"/>
    <n v="2103"/>
    <n v="1881"/>
    <n v="12561"/>
    <n v="177838898"/>
    <n v="42"/>
    <n v="11409"/>
    <n v="630"/>
    <n v="1775"/>
    <n v="961"/>
    <n v="246"/>
    <n v="407"/>
    <n v="15470"/>
    <n v="101"/>
    <s v="-"/>
    <m/>
    <m/>
    <m/>
    <m/>
    <m/>
    <m/>
    <m/>
    <m/>
    <m/>
    <m/>
    <m/>
    <m/>
    <m/>
    <m/>
    <m/>
    <m/>
    <m/>
    <m/>
    <m/>
  </r>
  <r>
    <x v="0"/>
    <n v="27"/>
    <s v="TAB"/>
    <x v="26"/>
    <s v="2012-2013"/>
    <x v="0"/>
    <n v="5305"/>
    <n v="2213"/>
    <n v="3092"/>
    <n v="36810"/>
    <n v="76"/>
    <n v="24"/>
    <n v="26"/>
    <n v="4446"/>
    <n v="135006.4916160994"/>
    <n v="2330"/>
    <n v="5040"/>
    <n v="1220"/>
    <n v="905"/>
    <m/>
    <m/>
    <n v="2186"/>
    <n v="1080"/>
    <n v="1149"/>
    <n v="1121"/>
    <n v="5305"/>
    <n v="89213480"/>
    <n v="304"/>
    <n v="4658"/>
    <n v="290"/>
    <n v="742"/>
    <n v="388"/>
    <n v="85"/>
    <n v="170"/>
    <n v="4008"/>
    <n v="0"/>
    <s v="-"/>
    <m/>
    <m/>
    <m/>
    <m/>
    <m/>
    <m/>
    <m/>
    <m/>
    <m/>
    <m/>
    <m/>
    <m/>
    <m/>
    <m/>
    <m/>
    <m/>
    <m/>
    <m/>
    <m/>
  </r>
  <r>
    <x v="0"/>
    <n v="28"/>
    <s v="TAMPS"/>
    <x v="27"/>
    <s v="2012-2013"/>
    <x v="0"/>
    <n v="8923"/>
    <n v="4147"/>
    <n v="4776"/>
    <n v="46139"/>
    <n v="140"/>
    <n v="25"/>
    <n v="47"/>
    <n v="7462"/>
    <n v="184782.07158093911"/>
    <n v="4907"/>
    <n v="8177"/>
    <n v="1926"/>
    <n v="2193"/>
    <m/>
    <m/>
    <n v="3579"/>
    <n v="1817"/>
    <n v="1747"/>
    <n v="1715"/>
    <n v="8923"/>
    <n v="137343621"/>
    <n v="412"/>
    <n v="7526"/>
    <n v="420"/>
    <n v="1056"/>
    <n v="958"/>
    <n v="128"/>
    <n v="277"/>
    <n v="20257"/>
    <n v="622"/>
    <n v="3"/>
    <m/>
    <m/>
    <n v="15"/>
    <m/>
    <m/>
    <m/>
    <m/>
    <m/>
    <m/>
    <m/>
    <m/>
    <m/>
    <m/>
    <m/>
    <m/>
    <m/>
    <m/>
    <m/>
    <m/>
  </r>
  <r>
    <x v="0"/>
    <n v="29"/>
    <s v="TLAX"/>
    <x v="28"/>
    <s v="2012-2013"/>
    <x v="0"/>
    <n v="3109"/>
    <n v="1332"/>
    <n v="1777"/>
    <n v="23065"/>
    <n v="42"/>
    <n v="12"/>
    <n v="16"/>
    <n v="2569"/>
    <n v="72843.924734240776"/>
    <n v="1638"/>
    <n v="2587"/>
    <n v="621"/>
    <n v="329"/>
    <m/>
    <m/>
    <n v="985"/>
    <n v="571"/>
    <n v="573"/>
    <n v="569"/>
    <n v="3109"/>
    <n v="33240372"/>
    <n v="205"/>
    <n v="2463"/>
    <n v="156"/>
    <n v="748"/>
    <n v="401"/>
    <n v="49"/>
    <n v="67"/>
    <n v="2039"/>
    <n v="7"/>
    <s v="-"/>
    <m/>
    <m/>
    <m/>
    <m/>
    <m/>
    <m/>
    <m/>
    <m/>
    <m/>
    <m/>
    <m/>
    <m/>
    <m/>
    <m/>
    <m/>
    <m/>
    <m/>
    <m/>
    <m/>
  </r>
  <r>
    <x v="0"/>
    <n v="30"/>
    <s v="VER"/>
    <x v="29"/>
    <s v="2012-2013"/>
    <x v="0"/>
    <n v="9255"/>
    <n v="3711"/>
    <n v="5544"/>
    <n v="119985"/>
    <n v="164"/>
    <n v="39"/>
    <n v="83"/>
    <n v="7867"/>
    <n v="459028.2415179275"/>
    <n v="5514"/>
    <n v="9257"/>
    <n v="2375"/>
    <n v="2033"/>
    <m/>
    <m/>
    <n v="3772"/>
    <n v="2128"/>
    <n v="2317"/>
    <n v="2202"/>
    <n v="9255"/>
    <n v="177451974"/>
    <n v="589"/>
    <n v="8668"/>
    <n v="389"/>
    <n v="1290"/>
    <n v="1350"/>
    <n v="219"/>
    <n v="377"/>
    <n v="14349"/>
    <n v="280"/>
    <n v="1"/>
    <m/>
    <m/>
    <n v="552"/>
    <m/>
    <m/>
    <m/>
    <m/>
    <m/>
    <m/>
    <m/>
    <m/>
    <m/>
    <m/>
    <m/>
    <m/>
    <m/>
    <m/>
    <m/>
    <m/>
  </r>
  <r>
    <x v="0"/>
    <n v="31"/>
    <s v="YUC"/>
    <x v="30"/>
    <s v="2012-2013"/>
    <x v="0"/>
    <n v="4409"/>
    <n v="1708"/>
    <n v="2701"/>
    <n v="29066"/>
    <n v="56"/>
    <n v="10"/>
    <n v="16"/>
    <n v="3300"/>
    <n v="113961.53601094714"/>
    <n v="2684"/>
    <n v="4693"/>
    <n v="843"/>
    <n v="1234"/>
    <m/>
    <m/>
    <n v="1718"/>
    <n v="774"/>
    <n v="871"/>
    <n v="770"/>
    <n v="4409"/>
    <n v="77263516"/>
    <n v="275"/>
    <n v="4291"/>
    <n v="287"/>
    <n v="994"/>
    <n v="367"/>
    <n v="81"/>
    <n v="137"/>
    <n v="7244"/>
    <n v="183"/>
    <s v="-"/>
    <m/>
    <m/>
    <m/>
    <m/>
    <m/>
    <m/>
    <m/>
    <m/>
    <m/>
    <m/>
    <m/>
    <m/>
    <m/>
    <m/>
    <m/>
    <m/>
    <m/>
    <m/>
    <m/>
  </r>
  <r>
    <x v="0"/>
    <n v="32"/>
    <s v="ZAC"/>
    <x v="31"/>
    <s v="2012-2013"/>
    <x v="0"/>
    <n v="1722"/>
    <n v="767"/>
    <n v="955"/>
    <n v="23608"/>
    <n v="37"/>
    <n v="13"/>
    <n v="6"/>
    <n v="1325"/>
    <n v="91820.373265537899"/>
    <n v="934"/>
    <n v="1588"/>
    <n v="323"/>
    <n v="715"/>
    <m/>
    <m/>
    <n v="806"/>
    <n v="288"/>
    <n v="214"/>
    <n v="201"/>
    <n v="1722"/>
    <n v="32108696"/>
    <n v="95"/>
    <n v="1458"/>
    <n v="117"/>
    <n v="369"/>
    <n v="155"/>
    <n v="42"/>
    <n v="57"/>
    <n v="2900"/>
    <n v="70"/>
    <s v="-"/>
    <m/>
    <m/>
    <m/>
    <m/>
    <m/>
    <m/>
    <m/>
    <m/>
    <m/>
    <m/>
    <m/>
    <m/>
    <m/>
    <m/>
    <m/>
    <m/>
    <m/>
    <m/>
    <m/>
  </r>
  <r>
    <x v="2"/>
    <n v="33"/>
    <s v="OTRO"/>
    <x v="32"/>
    <s v="2012-201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1"/>
    <s v="AGS"/>
    <x v="0"/>
    <s v="2013-2014"/>
    <x v="1"/>
    <n v="4724"/>
    <n v="1749"/>
    <n v="2975"/>
    <n v="22184"/>
    <n v="84"/>
    <n v="13"/>
    <n v="19"/>
    <n v="3957"/>
    <n v="75231.71103324533"/>
    <n v="3860"/>
    <n v="4876"/>
    <n v="1235"/>
    <n v="644"/>
    <m/>
    <m/>
    <n v="1791"/>
    <n v="1076"/>
    <n v="963"/>
    <n v="848"/>
    <n v="4724"/>
    <n v="53064138"/>
    <n v="285"/>
    <n v="4575"/>
    <n v="344"/>
    <n v="949"/>
    <n v="441"/>
    <n v="127"/>
    <n v="146"/>
    <n v="5889"/>
    <n v="545"/>
    <s v="-"/>
    <m/>
    <n v="327"/>
    <m/>
    <m/>
    <m/>
    <m/>
    <m/>
    <m/>
    <m/>
    <m/>
    <m/>
    <m/>
    <m/>
    <m/>
    <m/>
    <m/>
    <m/>
    <m/>
    <m/>
  </r>
  <r>
    <x v="0"/>
    <n v="2"/>
    <s v="BC"/>
    <x v="1"/>
    <s v="2013-2014"/>
    <x v="1"/>
    <n v="7923"/>
    <n v="3120"/>
    <n v="4803"/>
    <n v="50847"/>
    <n v="118"/>
    <n v="16"/>
    <n v="25"/>
    <n v="6510"/>
    <n v="192570.33030696079"/>
    <n v="3981"/>
    <n v="8368"/>
    <n v="1836"/>
    <n v="2407"/>
    <m/>
    <m/>
    <n v="3518"/>
    <n v="1654"/>
    <n v="1526"/>
    <n v="1480"/>
    <n v="7923"/>
    <n v="113761602"/>
    <n v="394"/>
    <n v="7556"/>
    <n v="379"/>
    <n v="1515"/>
    <n v="714"/>
    <n v="186"/>
    <n v="203"/>
    <n v="11950"/>
    <n v="183"/>
    <n v="2"/>
    <n v="6325"/>
    <n v="0"/>
    <n v="1693"/>
    <m/>
    <m/>
    <m/>
    <m/>
    <m/>
    <m/>
    <m/>
    <m/>
    <m/>
    <m/>
    <m/>
    <m/>
    <m/>
    <m/>
    <m/>
    <m/>
  </r>
  <r>
    <x v="0"/>
    <n v="3"/>
    <s v="BCS"/>
    <x v="2"/>
    <s v="2013-2014"/>
    <x v="1"/>
    <n v="2058"/>
    <n v="884"/>
    <n v="1174"/>
    <n v="10507"/>
    <n v="29"/>
    <n v="7"/>
    <n v="2"/>
    <n v="1587"/>
    <n v="38630.89366289071"/>
    <n v="1399"/>
    <n v="1902"/>
    <n v="411"/>
    <n v="562"/>
    <m/>
    <m/>
    <n v="724"/>
    <n v="366"/>
    <n v="420"/>
    <n v="394"/>
    <n v="2058"/>
    <n v="28483347"/>
    <n v="105"/>
    <n v="1705"/>
    <n v="124"/>
    <n v="452"/>
    <n v="203"/>
    <n v="69"/>
    <n v="59"/>
    <n v="2477"/>
    <n v="258"/>
    <s v="-"/>
    <m/>
    <n v="0"/>
    <m/>
    <m/>
    <m/>
    <m/>
    <m/>
    <m/>
    <m/>
    <m/>
    <m/>
    <m/>
    <m/>
    <m/>
    <m/>
    <m/>
    <m/>
    <m/>
    <m/>
  </r>
  <r>
    <x v="0"/>
    <n v="4"/>
    <s v="CAMP"/>
    <x v="3"/>
    <s v="2013-2014"/>
    <x v="1"/>
    <n v="1930"/>
    <n v="799"/>
    <n v="1131"/>
    <n v="12284"/>
    <n v="36"/>
    <n v="8"/>
    <n v="16"/>
    <n v="1376"/>
    <n v="49606.327829282833"/>
    <n v="958"/>
    <n v="1864"/>
    <n v="375"/>
    <n v="605"/>
    <m/>
    <m/>
    <n v="760"/>
    <n v="347"/>
    <n v="274"/>
    <n v="266"/>
    <n v="1930"/>
    <n v="34103141"/>
    <n v="107"/>
    <n v="1671"/>
    <n v="147"/>
    <n v="486"/>
    <n v="280"/>
    <n v="70"/>
    <n v="71"/>
    <n v="2177"/>
    <n v="750"/>
    <s v="-"/>
    <n v="535"/>
    <n v="625"/>
    <m/>
    <m/>
    <m/>
    <m/>
    <m/>
    <m/>
    <m/>
    <m/>
    <m/>
    <m/>
    <m/>
    <m/>
    <m/>
    <m/>
    <m/>
    <m/>
    <m/>
  </r>
  <r>
    <x v="0"/>
    <n v="7"/>
    <s v="CHIAP"/>
    <x v="4"/>
    <s v="2013-2014"/>
    <x v="1"/>
    <n v="7916"/>
    <n v="3054"/>
    <n v="4862"/>
    <n v="85235"/>
    <n v="143"/>
    <n v="21"/>
    <n v="42"/>
    <n v="5924"/>
    <n v="339210.95663831854"/>
    <n v="4091"/>
    <n v="7730"/>
    <n v="1854"/>
    <n v="1641"/>
    <m/>
    <m/>
    <n v="3009"/>
    <n v="1710"/>
    <n v="1305"/>
    <n v="1212"/>
    <n v="7916"/>
    <n v="132254276"/>
    <n v="445"/>
    <n v="7186"/>
    <n v="346"/>
    <n v="1229"/>
    <n v="558"/>
    <n v="200"/>
    <n v="234"/>
    <n v="5222"/>
    <n v="13"/>
    <s v="-"/>
    <m/>
    <n v="256"/>
    <m/>
    <m/>
    <m/>
    <m/>
    <m/>
    <m/>
    <m/>
    <m/>
    <m/>
    <m/>
    <m/>
    <m/>
    <m/>
    <m/>
    <m/>
    <m/>
    <m/>
  </r>
  <r>
    <x v="0"/>
    <n v="8"/>
    <s v="CHIH"/>
    <x v="5"/>
    <s v="2013-2014"/>
    <x v="1"/>
    <n v="9072"/>
    <n v="3670"/>
    <n v="5402"/>
    <n v="53834"/>
    <n v="143"/>
    <n v="26"/>
    <n v="40"/>
    <n v="7458"/>
    <n v="201420.28859328708"/>
    <n v="4392"/>
    <n v="9183"/>
    <n v="1832"/>
    <n v="2416"/>
    <m/>
    <m/>
    <n v="3668"/>
    <n v="1658"/>
    <n v="1499"/>
    <n v="1450"/>
    <n v="9072"/>
    <n v="126336677"/>
    <n v="604"/>
    <n v="8240"/>
    <n v="498"/>
    <n v="1805"/>
    <n v="856"/>
    <n v="150"/>
    <n v="234"/>
    <n v="11054"/>
    <n v="2633"/>
    <n v="3"/>
    <n v="3186"/>
    <n v="4469"/>
    <n v="962"/>
    <m/>
    <m/>
    <m/>
    <m/>
    <m/>
    <m/>
    <m/>
    <m/>
    <m/>
    <m/>
    <m/>
    <m/>
    <m/>
    <m/>
    <m/>
    <m/>
  </r>
  <r>
    <x v="1"/>
    <n v="9"/>
    <s v="CDMX"/>
    <x v="6"/>
    <s v="2013-2014"/>
    <x v="1"/>
    <n v="42808"/>
    <n v="17832"/>
    <n v="24976"/>
    <n v="128608"/>
    <n v="545"/>
    <n v="91"/>
    <n v="164"/>
    <n v="31960"/>
    <n v="416841.07252891117"/>
    <n v="22668"/>
    <n v="43673"/>
    <n v="9190"/>
    <n v="14555"/>
    <m/>
    <m/>
    <n v="20540"/>
    <n v="7987"/>
    <n v="7474"/>
    <n v="4963"/>
    <m/>
    <m/>
    <n v="2120"/>
    <n v="38777"/>
    <n v="949"/>
    <n v="3930"/>
    <n v="3101"/>
    <n v="1061"/>
    <n v="1373"/>
    <n v="20448"/>
    <n v="2193"/>
    <n v="1"/>
    <n v="13970"/>
    <n v="1443"/>
    <m/>
    <m/>
    <m/>
    <m/>
    <m/>
    <m/>
    <m/>
    <m/>
    <m/>
    <m/>
    <m/>
    <m/>
    <m/>
    <m/>
    <m/>
    <m/>
    <m/>
  </r>
  <r>
    <x v="0"/>
    <n v="5"/>
    <s v="COAH"/>
    <x v="7"/>
    <s v="2013-2014"/>
    <x v="1"/>
    <n v="7891"/>
    <n v="3155"/>
    <n v="4736"/>
    <n v="43223"/>
    <n v="132"/>
    <n v="31"/>
    <n v="42"/>
    <n v="7051"/>
    <n v="163236.43417178339"/>
    <n v="4144"/>
    <n v="8071"/>
    <n v="1943"/>
    <n v="1545"/>
    <m/>
    <m/>
    <n v="3257"/>
    <n v="1767"/>
    <n v="1594"/>
    <n v="1593"/>
    <n v="7891"/>
    <n v="124076457"/>
    <n v="426"/>
    <n v="7266"/>
    <n v="495"/>
    <n v="1469"/>
    <n v="943"/>
    <n v="188"/>
    <n v="234"/>
    <n v="12186"/>
    <n v="1121"/>
    <n v="1"/>
    <n v="5662"/>
    <n v="1346"/>
    <m/>
    <m/>
    <m/>
    <m/>
    <m/>
    <m/>
    <m/>
    <m/>
    <m/>
    <m/>
    <m/>
    <m/>
    <m/>
    <m/>
    <m/>
    <m/>
    <m/>
  </r>
  <r>
    <x v="0"/>
    <n v="6"/>
    <s v="COL"/>
    <x v="8"/>
    <s v="2013-2014"/>
    <x v="1"/>
    <n v="1883"/>
    <n v="813"/>
    <n v="1070"/>
    <n v="8912"/>
    <n v="41"/>
    <n v="6"/>
    <n v="10"/>
    <n v="1151"/>
    <n v="37630.754876559426"/>
    <n v="948"/>
    <n v="1864"/>
    <n v="362"/>
    <n v="848"/>
    <m/>
    <m/>
    <n v="778"/>
    <n v="311"/>
    <n v="299"/>
    <n v="282"/>
    <n v="1883"/>
    <n v="34433440"/>
    <n v="122"/>
    <n v="1531"/>
    <n v="123"/>
    <n v="357"/>
    <n v="289"/>
    <n v="92"/>
    <n v="81"/>
    <n v="3260"/>
    <n v="278"/>
    <n v="1"/>
    <n v="1883"/>
    <n v="2"/>
    <m/>
    <m/>
    <m/>
    <m/>
    <m/>
    <m/>
    <m/>
    <m/>
    <m/>
    <m/>
    <m/>
    <m/>
    <m/>
    <m/>
    <m/>
    <m/>
    <m/>
  </r>
  <r>
    <x v="0"/>
    <n v="10"/>
    <s v="DGO"/>
    <x v="9"/>
    <s v="2013-2014"/>
    <x v="1"/>
    <n v="2413"/>
    <n v="1022"/>
    <n v="1391"/>
    <n v="28121"/>
    <n v="45"/>
    <n v="13"/>
    <n v="11"/>
    <n v="2057"/>
    <n v="104245.78939787953"/>
    <n v="1204"/>
    <n v="2386"/>
    <n v="447"/>
    <n v="854"/>
    <m/>
    <m/>
    <n v="1008"/>
    <n v="388"/>
    <n v="389"/>
    <n v="305"/>
    <n v="2413"/>
    <n v="33640421"/>
    <n v="165"/>
    <n v="2124"/>
    <n v="225"/>
    <n v="711"/>
    <n v="245"/>
    <n v="107"/>
    <n v="78"/>
    <n v="7093"/>
    <n v="318"/>
    <s v="-"/>
    <n v="832"/>
    <n v="512"/>
    <m/>
    <m/>
    <m/>
    <m/>
    <m/>
    <m/>
    <m/>
    <m/>
    <m/>
    <m/>
    <m/>
    <m/>
    <m/>
    <m/>
    <m/>
    <m/>
    <m/>
  </r>
  <r>
    <x v="0"/>
    <n v="11"/>
    <s v="GTO"/>
    <x v="10"/>
    <s v="2013-2014"/>
    <x v="1"/>
    <n v="18280"/>
    <n v="8079"/>
    <n v="10201"/>
    <n v="92929"/>
    <n v="254"/>
    <n v="60"/>
    <n v="81"/>
    <n v="15586"/>
    <n v="350709.29111595784"/>
    <n v="12334"/>
    <n v="16619"/>
    <n v="4270"/>
    <n v="4646"/>
    <m/>
    <m/>
    <n v="6317"/>
    <n v="3989"/>
    <n v="3531"/>
    <n v="3297"/>
    <n v="18280"/>
    <n v="202301884"/>
    <n v="917"/>
    <n v="15495"/>
    <n v="725"/>
    <n v="3092"/>
    <n v="1986"/>
    <n v="473"/>
    <n v="445"/>
    <n v="22717"/>
    <n v="2129"/>
    <n v="1"/>
    <n v="13236"/>
    <n v="599"/>
    <n v="8974"/>
    <m/>
    <m/>
    <m/>
    <m/>
    <m/>
    <m/>
    <m/>
    <m/>
    <m/>
    <m/>
    <m/>
    <m/>
    <m/>
    <m/>
    <m/>
    <m/>
  </r>
  <r>
    <x v="0"/>
    <n v="12"/>
    <s v="GRO"/>
    <x v="11"/>
    <s v="2013-2014"/>
    <x v="1"/>
    <n v="6996"/>
    <n v="2731"/>
    <n v="4265"/>
    <n v="57748"/>
    <n v="118"/>
    <n v="25"/>
    <n v="39"/>
    <n v="5628"/>
    <n v="229444.85510118637"/>
    <n v="3569"/>
    <n v="7047"/>
    <n v="1624"/>
    <n v="2430"/>
    <m/>
    <m/>
    <n v="3069"/>
    <n v="1531"/>
    <n v="1318"/>
    <n v="1020"/>
    <n v="6996"/>
    <n v="110429628"/>
    <n v="327"/>
    <n v="6498"/>
    <n v="386"/>
    <n v="1657"/>
    <n v="608"/>
    <n v="232"/>
    <n v="232"/>
    <n v="4631"/>
    <n v="1238"/>
    <s v="-"/>
    <m/>
    <n v="1886"/>
    <m/>
    <m/>
    <m/>
    <m/>
    <m/>
    <m/>
    <m/>
    <m/>
    <m/>
    <m/>
    <m/>
    <m/>
    <m/>
    <m/>
    <m/>
    <m/>
    <m/>
  </r>
  <r>
    <x v="0"/>
    <n v="13"/>
    <s v="HGO"/>
    <x v="12"/>
    <s v="2013-2014"/>
    <x v="1"/>
    <n v="3924"/>
    <n v="1716"/>
    <n v="2208"/>
    <n v="48232"/>
    <n v="65"/>
    <n v="27"/>
    <n v="26"/>
    <n v="3007"/>
    <n v="160236.09623416909"/>
    <n v="2104"/>
    <n v="3690"/>
    <n v="794"/>
    <n v="1157"/>
    <m/>
    <m/>
    <n v="1445"/>
    <n v="696"/>
    <n v="719"/>
    <n v="715"/>
    <n v="3924"/>
    <n v="52946557"/>
    <n v="222"/>
    <n v="3315"/>
    <n v="201"/>
    <n v="874"/>
    <n v="404"/>
    <n v="87"/>
    <n v="168"/>
    <n v="2670"/>
    <n v="247"/>
    <s v="-"/>
    <m/>
    <n v="207"/>
    <m/>
    <m/>
    <m/>
    <m/>
    <m/>
    <m/>
    <m/>
    <m/>
    <m/>
    <m/>
    <m/>
    <m/>
    <m/>
    <m/>
    <m/>
    <m/>
    <m/>
  </r>
  <r>
    <x v="0"/>
    <n v="14"/>
    <s v="JAL"/>
    <x v="13"/>
    <s v="2013-2014"/>
    <x v="1"/>
    <n v="14705"/>
    <n v="5644"/>
    <n v="9061"/>
    <n v="110165"/>
    <n v="255"/>
    <n v="32"/>
    <n v="75"/>
    <n v="11660"/>
    <n v="435539.89541535149"/>
    <n v="7428"/>
    <n v="15407"/>
    <n v="3549"/>
    <n v="3685"/>
    <m/>
    <m/>
    <n v="6042"/>
    <n v="3118"/>
    <n v="2939"/>
    <n v="2839"/>
    <n v="14705"/>
    <n v="214696273"/>
    <n v="879"/>
    <n v="14141"/>
    <n v="638"/>
    <n v="3720"/>
    <n v="2076"/>
    <n v="422"/>
    <n v="503"/>
    <n v="23920"/>
    <n v="2393"/>
    <n v="3"/>
    <n v="11799"/>
    <n v="35"/>
    <n v="427"/>
    <m/>
    <m/>
    <m/>
    <m/>
    <m/>
    <m/>
    <m/>
    <m/>
    <m/>
    <m/>
    <m/>
    <m/>
    <m/>
    <m/>
    <m/>
    <m/>
  </r>
  <r>
    <x v="0"/>
    <n v="15"/>
    <s v="MEX"/>
    <x v="14"/>
    <s v="2013-2014"/>
    <x v="1"/>
    <n v="47473"/>
    <n v="19346"/>
    <n v="28127"/>
    <n v="246038"/>
    <n v="737"/>
    <n v="137"/>
    <n v="223"/>
    <n v="36796"/>
    <n v="909426.38239890151"/>
    <n v="23555"/>
    <n v="48217"/>
    <n v="10598"/>
    <n v="11612"/>
    <m/>
    <m/>
    <n v="22526"/>
    <n v="9041"/>
    <n v="9088"/>
    <n v="7283"/>
    <n v="47473"/>
    <n v="623639878"/>
    <n v="2508"/>
    <n v="42614"/>
    <n v="1751"/>
    <n v="9530"/>
    <n v="4063"/>
    <n v="1439"/>
    <n v="1300"/>
    <n v="36420"/>
    <n v="4072"/>
    <n v="23"/>
    <n v="33647"/>
    <n v="5395"/>
    <n v="582"/>
    <m/>
    <m/>
    <m/>
    <m/>
    <m/>
    <m/>
    <m/>
    <m/>
    <m/>
    <m/>
    <m/>
    <m/>
    <m/>
    <m/>
    <m/>
    <m/>
  </r>
  <r>
    <x v="0"/>
    <n v="16"/>
    <s v="MICH"/>
    <x v="15"/>
    <s v="2013-2014"/>
    <x v="1"/>
    <n v="11807"/>
    <n v="4749"/>
    <n v="7058"/>
    <n v="62745"/>
    <n v="226"/>
    <n v="41"/>
    <n v="63"/>
    <n v="8818"/>
    <n v="268149.49620750209"/>
    <n v="5920"/>
    <n v="12293"/>
    <n v="2966"/>
    <n v="1795"/>
    <m/>
    <m/>
    <n v="5668"/>
    <n v="2525"/>
    <n v="2285"/>
    <n v="2083"/>
    <n v="11807"/>
    <n v="171064724"/>
    <n v="490"/>
    <n v="10726"/>
    <n v="461"/>
    <n v="2065"/>
    <n v="1056"/>
    <n v="277"/>
    <n v="355"/>
    <n v="6714"/>
    <n v="713"/>
    <s v="-"/>
    <m/>
    <n v="0"/>
    <m/>
    <m/>
    <m/>
    <m/>
    <m/>
    <m/>
    <m/>
    <m/>
    <m/>
    <m/>
    <m/>
    <m/>
    <m/>
    <m/>
    <m/>
    <m/>
    <m/>
  </r>
  <r>
    <x v="0"/>
    <n v="17"/>
    <s v="MOR"/>
    <x v="16"/>
    <s v="2013-2014"/>
    <x v="1"/>
    <n v="4693"/>
    <n v="1832"/>
    <n v="2861"/>
    <n v="29652"/>
    <n v="59"/>
    <n v="20"/>
    <n v="12"/>
    <n v="4044"/>
    <n v="103844.39817265478"/>
    <n v="2048"/>
    <n v="5012"/>
    <n v="1353"/>
    <n v="989"/>
    <m/>
    <m/>
    <n v="2231"/>
    <n v="1292"/>
    <n v="1059"/>
    <n v="973"/>
    <n v="4693"/>
    <n v="58251157"/>
    <n v="246"/>
    <n v="4573"/>
    <n v="387"/>
    <n v="1239"/>
    <n v="563"/>
    <n v="124"/>
    <n v="136"/>
    <n v="4512"/>
    <n v="648"/>
    <n v="1"/>
    <n v="3488"/>
    <n v="2011"/>
    <m/>
    <m/>
    <m/>
    <m/>
    <m/>
    <m/>
    <m/>
    <m/>
    <m/>
    <m/>
    <m/>
    <m/>
    <m/>
    <m/>
    <m/>
    <m/>
    <m/>
  </r>
  <r>
    <x v="0"/>
    <n v="18"/>
    <s v="NAY"/>
    <x v="17"/>
    <s v="2013-2014"/>
    <x v="1"/>
    <n v="3037"/>
    <n v="1236"/>
    <n v="1801"/>
    <n v="18277"/>
    <n v="54"/>
    <n v="8"/>
    <n v="9"/>
    <n v="2723"/>
    <n v="65290.161300975204"/>
    <n v="1589"/>
    <n v="3043"/>
    <n v="684"/>
    <n v="1070"/>
    <m/>
    <m/>
    <n v="1318"/>
    <n v="653"/>
    <n v="692"/>
    <n v="677"/>
    <n v="3037"/>
    <n v="43499898"/>
    <n v="120"/>
    <n v="2830"/>
    <n v="185"/>
    <n v="604"/>
    <n v="418"/>
    <n v="76"/>
    <n v="116"/>
    <n v="1860"/>
    <n v="130"/>
    <s v="-"/>
    <m/>
    <n v="92"/>
    <m/>
    <m/>
    <m/>
    <m/>
    <m/>
    <m/>
    <m/>
    <m/>
    <m/>
    <m/>
    <m/>
    <m/>
    <m/>
    <m/>
    <m/>
    <m/>
    <m/>
  </r>
  <r>
    <x v="0"/>
    <n v="19"/>
    <s v="NL"/>
    <x v="18"/>
    <s v="2013-2014"/>
    <x v="1"/>
    <n v="17191"/>
    <n v="7514"/>
    <n v="9677"/>
    <n v="75177"/>
    <n v="250"/>
    <n v="52"/>
    <n v="80"/>
    <n v="14351"/>
    <n v="258644.31615898266"/>
    <n v="10674"/>
    <n v="16396"/>
    <n v="3499"/>
    <n v="4536"/>
    <m/>
    <m/>
    <n v="6451"/>
    <n v="3199"/>
    <n v="3069"/>
    <n v="2967"/>
    <n v="17191"/>
    <n v="181234995"/>
    <n v="891"/>
    <n v="14596"/>
    <n v="596"/>
    <n v="1779"/>
    <n v="1703"/>
    <n v="408"/>
    <n v="355"/>
    <n v="44762"/>
    <n v="4064"/>
    <s v="-"/>
    <n v="2682"/>
    <n v="37828"/>
    <n v="617"/>
    <m/>
    <m/>
    <m/>
    <m/>
    <m/>
    <m/>
    <m/>
    <m/>
    <m/>
    <m/>
    <m/>
    <m/>
    <m/>
    <m/>
    <m/>
    <m/>
  </r>
  <r>
    <x v="1"/>
    <n v="20"/>
    <s v="OAX"/>
    <x v="19"/>
    <s v="2013-2014"/>
    <x v="1"/>
    <n v="6603"/>
    <n v="2396"/>
    <n v="4207"/>
    <n v="63618"/>
    <n v="106"/>
    <n v="8"/>
    <n v="32"/>
    <n v="5119"/>
    <n v="244037.21660395796"/>
    <n v="3072"/>
    <n v="6750"/>
    <n v="1293"/>
    <n v="1732"/>
    <m/>
    <m/>
    <n v="2468"/>
    <n v="1194"/>
    <n v="1152"/>
    <n v="891"/>
    <m/>
    <m/>
    <n v="382"/>
    <n v="6073"/>
    <n v="296"/>
    <n v="1234"/>
    <n v="420"/>
    <n v="139"/>
    <n v="196"/>
    <n v="2817"/>
    <n v="65"/>
    <s v="-"/>
    <m/>
    <n v="462"/>
    <m/>
    <m/>
    <m/>
    <m/>
    <m/>
    <m/>
    <m/>
    <m/>
    <m/>
    <m/>
    <m/>
    <m/>
    <m/>
    <m/>
    <m/>
    <m/>
    <m/>
  </r>
  <r>
    <x v="0"/>
    <n v="21"/>
    <s v="PUE"/>
    <x v="20"/>
    <s v="2013-2014"/>
    <x v="1"/>
    <n v="7277"/>
    <n v="2813"/>
    <n v="4464"/>
    <n v="99239"/>
    <n v="141"/>
    <n v="37"/>
    <n v="56"/>
    <n v="6125"/>
    <n v="366372.62420574436"/>
    <n v="4136"/>
    <n v="7539"/>
    <n v="1934"/>
    <n v="868"/>
    <m/>
    <m/>
    <n v="3093"/>
    <n v="1760"/>
    <n v="1621"/>
    <n v="1546"/>
    <n v="7277"/>
    <n v="124199174"/>
    <n v="392"/>
    <n v="6986"/>
    <n v="338"/>
    <n v="1715"/>
    <n v="875"/>
    <n v="267"/>
    <n v="262"/>
    <n v="7054"/>
    <n v="567"/>
    <n v="3"/>
    <n v="4598"/>
    <n v="5358"/>
    <m/>
    <m/>
    <m/>
    <m/>
    <m/>
    <m/>
    <m/>
    <m/>
    <m/>
    <m/>
    <m/>
    <m/>
    <m/>
    <m/>
    <m/>
    <m/>
    <m/>
  </r>
  <r>
    <x v="0"/>
    <n v="22"/>
    <s v="QRO"/>
    <x v="21"/>
    <s v="2013-2014"/>
    <x v="1"/>
    <n v="3224"/>
    <n v="1347"/>
    <n v="1877"/>
    <n v="28481"/>
    <n v="51"/>
    <n v="12"/>
    <n v="28"/>
    <n v="2742"/>
    <n v="113507.25317716529"/>
    <n v="2178"/>
    <n v="3014"/>
    <n v="748"/>
    <n v="888"/>
    <m/>
    <m/>
    <n v="1048"/>
    <n v="703"/>
    <n v="606"/>
    <n v="528"/>
    <n v="3224"/>
    <n v="38235173"/>
    <n v="243"/>
    <n v="2853"/>
    <n v="206"/>
    <n v="632"/>
    <n v="354"/>
    <n v="110"/>
    <n v="107"/>
    <n v="4856"/>
    <n v="219"/>
    <n v="1"/>
    <n v="988"/>
    <n v="4"/>
    <m/>
    <m/>
    <m/>
    <m/>
    <m/>
    <m/>
    <m/>
    <m/>
    <m/>
    <m/>
    <m/>
    <m/>
    <m/>
    <m/>
    <m/>
    <m/>
    <m/>
  </r>
  <r>
    <x v="0"/>
    <n v="23"/>
    <s v="QROO"/>
    <x v="22"/>
    <s v="2013-2014"/>
    <x v="1"/>
    <n v="8835"/>
    <n v="3422"/>
    <n v="5413"/>
    <n v="20556"/>
    <n v="104"/>
    <n v="18"/>
    <n v="29"/>
    <n v="6863"/>
    <n v="80603.226862702431"/>
    <n v="3967"/>
    <n v="8685"/>
    <n v="2104"/>
    <n v="2260"/>
    <m/>
    <m/>
    <n v="3302"/>
    <n v="1858"/>
    <n v="1943"/>
    <n v="1886"/>
    <n v="8835"/>
    <n v="83082049"/>
    <n v="409"/>
    <n v="8228"/>
    <n v="339"/>
    <n v="1495"/>
    <n v="854"/>
    <n v="293"/>
    <n v="259"/>
    <n v="8547"/>
    <n v="650"/>
    <n v="3"/>
    <n v="5056"/>
    <n v="1653"/>
    <m/>
    <m/>
    <m/>
    <m/>
    <m/>
    <m/>
    <m/>
    <m/>
    <m/>
    <m/>
    <m/>
    <m/>
    <m/>
    <m/>
    <m/>
    <m/>
    <m/>
  </r>
  <r>
    <x v="0"/>
    <n v="24"/>
    <s v="SLP"/>
    <x v="23"/>
    <s v="2013-2014"/>
    <x v="1"/>
    <n v="5373"/>
    <n v="2113"/>
    <n v="3260"/>
    <n v="44201"/>
    <n v="84"/>
    <n v="24"/>
    <n v="28"/>
    <n v="4365"/>
    <n v="162591.23938538344"/>
    <n v="2513"/>
    <n v="5478"/>
    <n v="1182"/>
    <n v="2021"/>
    <m/>
    <m/>
    <n v="2270"/>
    <n v="1099"/>
    <n v="951"/>
    <n v="886"/>
    <n v="5373"/>
    <n v="72691037"/>
    <n v="327"/>
    <n v="4814"/>
    <n v="263"/>
    <n v="862"/>
    <n v="398"/>
    <n v="196"/>
    <n v="145"/>
    <n v="8025"/>
    <n v="711"/>
    <n v="1"/>
    <n v="4411"/>
    <n v="903"/>
    <m/>
    <m/>
    <m/>
    <m/>
    <m/>
    <m/>
    <m/>
    <m/>
    <m/>
    <m/>
    <m/>
    <m/>
    <m/>
    <m/>
    <m/>
    <m/>
    <m/>
  </r>
  <r>
    <x v="0"/>
    <n v="25"/>
    <s v="SIN"/>
    <x v="24"/>
    <s v="2013-2014"/>
    <x v="1"/>
    <n v="9306"/>
    <n v="3734"/>
    <n v="5572"/>
    <n v="47345"/>
    <n v="180"/>
    <n v="48"/>
    <n v="49"/>
    <n v="7757"/>
    <n v="166876.95846203336"/>
    <n v="4530"/>
    <n v="9564"/>
    <n v="2408"/>
    <n v="2297"/>
    <m/>
    <m/>
    <n v="3555"/>
    <n v="2310"/>
    <n v="2090"/>
    <n v="2080"/>
    <n v="9306"/>
    <n v="184315590"/>
    <n v="612"/>
    <n v="8907"/>
    <n v="567"/>
    <n v="2323"/>
    <n v="986"/>
    <n v="301"/>
    <n v="470"/>
    <n v="7312"/>
    <n v="388"/>
    <n v="1"/>
    <n v="1682"/>
    <n v="0"/>
    <m/>
    <m/>
    <m/>
    <m/>
    <m/>
    <m/>
    <m/>
    <m/>
    <m/>
    <m/>
    <m/>
    <m/>
    <m/>
    <m/>
    <m/>
    <m/>
    <m/>
  </r>
  <r>
    <x v="0"/>
    <n v="26"/>
    <s v="SON"/>
    <x v="25"/>
    <s v="2013-2014"/>
    <x v="1"/>
    <n v="12900"/>
    <n v="5501"/>
    <n v="7399"/>
    <n v="46866"/>
    <n v="241"/>
    <n v="35"/>
    <n v="45"/>
    <n v="11004"/>
    <n v="157243.00090581051"/>
    <n v="5613"/>
    <n v="12561"/>
    <n v="2760"/>
    <n v="4567"/>
    <m/>
    <m/>
    <n v="5662"/>
    <n v="2545"/>
    <n v="2121"/>
    <n v="1905"/>
    <n v="12900"/>
    <n v="186557052"/>
    <n v="521"/>
    <n v="11757"/>
    <n v="661"/>
    <n v="2362"/>
    <n v="993"/>
    <n v="352"/>
    <n v="405"/>
    <n v="11874"/>
    <n v="1364"/>
    <s v="-"/>
    <m/>
    <n v="0"/>
    <m/>
    <m/>
    <m/>
    <m/>
    <m/>
    <m/>
    <m/>
    <m/>
    <m/>
    <m/>
    <m/>
    <m/>
    <m/>
    <m/>
    <m/>
    <m/>
    <m/>
  </r>
  <r>
    <x v="0"/>
    <n v="27"/>
    <s v="TAB"/>
    <x v="26"/>
    <s v="2013-2014"/>
    <x v="1"/>
    <n v="5452"/>
    <n v="2164"/>
    <n v="3288"/>
    <n v="36668"/>
    <n v="79"/>
    <n v="21"/>
    <n v="31"/>
    <n v="4558"/>
    <n v="134705.84663611482"/>
    <n v="2164"/>
    <n v="5305"/>
    <n v="1288"/>
    <n v="911"/>
    <m/>
    <m/>
    <n v="2193"/>
    <n v="1138"/>
    <n v="1080"/>
    <n v="1073"/>
    <n v="5452"/>
    <n v="92390906"/>
    <n v="296"/>
    <n v="4752"/>
    <n v="341"/>
    <n v="970"/>
    <n v="414"/>
    <n v="119"/>
    <n v="187"/>
    <n v="3145"/>
    <n v="22"/>
    <s v="-"/>
    <n v="652"/>
    <n v="503"/>
    <m/>
    <m/>
    <m/>
    <m/>
    <m/>
    <m/>
    <m/>
    <m/>
    <m/>
    <m/>
    <m/>
    <m/>
    <m/>
    <m/>
    <m/>
    <m/>
    <m/>
  </r>
  <r>
    <x v="0"/>
    <n v="28"/>
    <s v="TAMPS"/>
    <x v="27"/>
    <s v="2013-2014"/>
    <x v="1"/>
    <n v="9144"/>
    <n v="3644"/>
    <n v="5500"/>
    <n v="45534"/>
    <n v="143"/>
    <n v="24"/>
    <n v="53"/>
    <n v="7784"/>
    <n v="186145.71750308797"/>
    <n v="4396"/>
    <n v="8923"/>
    <n v="1841"/>
    <n v="2383"/>
    <m/>
    <m/>
    <n v="3133"/>
    <n v="1672"/>
    <n v="1817"/>
    <n v="1754"/>
    <n v="9144"/>
    <n v="143856893"/>
    <n v="412"/>
    <n v="8141"/>
    <n v="420"/>
    <n v="1377"/>
    <n v="939"/>
    <n v="209"/>
    <n v="291"/>
    <n v="16612"/>
    <n v="466"/>
    <n v="3"/>
    <n v="5631"/>
    <n v="43"/>
    <n v="34"/>
    <m/>
    <m/>
    <m/>
    <m/>
    <m/>
    <m/>
    <m/>
    <m/>
    <m/>
    <m/>
    <m/>
    <m/>
    <m/>
    <m/>
    <m/>
    <m/>
  </r>
  <r>
    <x v="0"/>
    <n v="29"/>
    <s v="TLAX"/>
    <x v="28"/>
    <s v="2013-2014"/>
    <x v="1"/>
    <n v="3098"/>
    <n v="1269"/>
    <n v="1829"/>
    <n v="20885"/>
    <n v="43"/>
    <n v="11"/>
    <n v="17"/>
    <n v="2525"/>
    <n v="73145.535441940141"/>
    <n v="1516"/>
    <n v="3109"/>
    <n v="682"/>
    <n v="722"/>
    <m/>
    <m/>
    <n v="1104"/>
    <n v="628"/>
    <n v="571"/>
    <n v="549"/>
    <n v="3098"/>
    <n v="35029811"/>
    <n v="207"/>
    <n v="2846"/>
    <n v="193"/>
    <n v="702"/>
    <n v="358"/>
    <n v="27"/>
    <n v="73"/>
    <n v="1385"/>
    <n v="56"/>
    <s v="-"/>
    <n v="3098"/>
    <n v="0"/>
    <m/>
    <m/>
    <m/>
    <m/>
    <m/>
    <m/>
    <m/>
    <m/>
    <m/>
    <m/>
    <m/>
    <m/>
    <m/>
    <m/>
    <m/>
    <m/>
    <m/>
  </r>
  <r>
    <x v="0"/>
    <n v="30"/>
    <s v="VER"/>
    <x v="29"/>
    <s v="2013-2014"/>
    <x v="1"/>
    <n v="9096"/>
    <n v="3472"/>
    <n v="5624"/>
    <n v="123917"/>
    <n v="175"/>
    <n v="36"/>
    <n v="74"/>
    <n v="7871"/>
    <n v="456163.09147284296"/>
    <n v="5246"/>
    <n v="9255"/>
    <n v="2316"/>
    <n v="2173"/>
    <m/>
    <m/>
    <n v="3522"/>
    <n v="2105"/>
    <n v="2128"/>
    <n v="2026"/>
    <n v="9096"/>
    <n v="188756223"/>
    <n v="580"/>
    <n v="8530"/>
    <n v="342"/>
    <n v="1693"/>
    <n v="1302"/>
    <n v="365"/>
    <n v="397"/>
    <n v="10384"/>
    <n v="245"/>
    <n v="3"/>
    <n v="5164"/>
    <n v="679"/>
    <n v="1185"/>
    <m/>
    <m/>
    <m/>
    <m/>
    <m/>
    <m/>
    <m/>
    <m/>
    <m/>
    <m/>
    <m/>
    <m/>
    <m/>
    <m/>
    <m/>
    <m/>
  </r>
  <r>
    <x v="0"/>
    <n v="31"/>
    <s v="YUC"/>
    <x v="30"/>
    <s v="2013-2014"/>
    <x v="1"/>
    <n v="4673"/>
    <n v="1841"/>
    <n v="2832"/>
    <n v="29568"/>
    <n v="68"/>
    <n v="14"/>
    <n v="22"/>
    <n v="3554"/>
    <n v="113002.20832453723"/>
    <n v="2565"/>
    <n v="4409"/>
    <n v="1138"/>
    <n v="1442"/>
    <m/>
    <m/>
    <n v="1972"/>
    <n v="998"/>
    <n v="774"/>
    <n v="729"/>
    <n v="4673"/>
    <n v="83899942"/>
    <n v="252"/>
    <n v="4447"/>
    <n v="302"/>
    <n v="1008"/>
    <n v="390"/>
    <n v="105"/>
    <n v="154"/>
    <n v="7791"/>
    <n v="396"/>
    <n v="1"/>
    <n v="897"/>
    <n v="1487"/>
    <m/>
    <m/>
    <m/>
    <m/>
    <m/>
    <m/>
    <m/>
    <m/>
    <m/>
    <m/>
    <m/>
    <m/>
    <m/>
    <m/>
    <m/>
    <m/>
    <m/>
  </r>
  <r>
    <x v="0"/>
    <n v="32"/>
    <s v="ZAC"/>
    <x v="31"/>
    <s v="2013-2014"/>
    <x v="1"/>
    <n v="1759"/>
    <n v="801"/>
    <n v="958"/>
    <n v="26220"/>
    <n v="47"/>
    <n v="15"/>
    <n v="6"/>
    <n v="1389"/>
    <n v="91649.600964842932"/>
    <n v="928"/>
    <n v="1722"/>
    <n v="334"/>
    <n v="715"/>
    <m/>
    <m/>
    <n v="800"/>
    <n v="287"/>
    <n v="288"/>
    <n v="270"/>
    <n v="1759"/>
    <n v="30600067"/>
    <n v="88"/>
    <n v="1383"/>
    <n v="155"/>
    <n v="544"/>
    <n v="163"/>
    <n v="79"/>
    <n v="76"/>
    <n v="2125"/>
    <n v="360"/>
    <n v="2"/>
    <n v="1528"/>
    <n v="57"/>
    <m/>
    <m/>
    <m/>
    <m/>
    <m/>
    <m/>
    <m/>
    <m/>
    <m/>
    <m/>
    <m/>
    <m/>
    <m/>
    <m/>
    <m/>
    <m/>
    <m/>
  </r>
  <r>
    <x v="2"/>
    <n v="33"/>
    <s v="OTRO"/>
    <x v="32"/>
    <s v="2013-2014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1"/>
    <s v="AGS"/>
    <x v="0"/>
    <s v="2014-2015"/>
    <x v="2"/>
    <n v="4702"/>
    <n v="1860"/>
    <n v="2842"/>
    <n v="22695"/>
    <n v="84"/>
    <n v="14"/>
    <n v="19"/>
    <n v="3971"/>
    <n v="75527.697364606225"/>
    <n v="3529"/>
    <n v="4724"/>
    <n v="1355"/>
    <n v="457"/>
    <m/>
    <m/>
    <n v="2029"/>
    <n v="1195"/>
    <n v="1076"/>
    <n v="959"/>
    <n v="4702"/>
    <n v="54318738"/>
    <n v="298"/>
    <n v="4454"/>
    <n v="343"/>
    <n v="448"/>
    <n v="451"/>
    <n v="106"/>
    <n v="146"/>
    <n v="3707"/>
    <n v="200"/>
    <s v="-"/>
    <n v="0"/>
    <n v="513"/>
    <m/>
    <m/>
    <m/>
    <m/>
    <m/>
    <m/>
    <m/>
    <m/>
    <m/>
    <m/>
    <m/>
    <m/>
    <m/>
    <m/>
    <m/>
    <m/>
    <m/>
  </r>
  <r>
    <x v="0"/>
    <n v="2"/>
    <s v="BC"/>
    <x v="1"/>
    <s v="2014-2015"/>
    <x v="2"/>
    <n v="8064"/>
    <n v="3277"/>
    <n v="4787"/>
    <n v="52307"/>
    <n v="118"/>
    <n v="16"/>
    <n v="25"/>
    <n v="6550"/>
    <n v="192061.00847132175"/>
    <n v="3831"/>
    <n v="7923"/>
    <n v="1696"/>
    <n v="2909"/>
    <m/>
    <m/>
    <n v="3537"/>
    <n v="1508"/>
    <n v="1654"/>
    <n v="1469"/>
    <n v="8064"/>
    <n v="116478902"/>
    <n v="395"/>
    <n v="7178"/>
    <n v="309"/>
    <n v="433"/>
    <n v="627"/>
    <n v="113"/>
    <n v="203"/>
    <n v="5889"/>
    <n v="239"/>
    <n v="6"/>
    <n v="8064"/>
    <n v="21"/>
    <n v="998"/>
    <m/>
    <m/>
    <m/>
    <m/>
    <m/>
    <m/>
    <m/>
    <m/>
    <m/>
    <m/>
    <m/>
    <m/>
    <m/>
    <m/>
    <m/>
    <m/>
  </r>
  <r>
    <x v="0"/>
    <n v="3"/>
    <s v="BCS"/>
    <x v="2"/>
    <s v="2014-2015"/>
    <x v="2"/>
    <n v="1962"/>
    <n v="709"/>
    <n v="1253"/>
    <n v="10688"/>
    <n v="17"/>
    <n v="6"/>
    <n v="2"/>
    <n v="1514"/>
    <n v="39449.577969580379"/>
    <n v="1155"/>
    <n v="2058"/>
    <n v="399"/>
    <n v="487"/>
    <m/>
    <m/>
    <n v="585"/>
    <n v="331"/>
    <n v="366"/>
    <n v="363"/>
    <n v="1962"/>
    <n v="29174547"/>
    <n v="95"/>
    <n v="1821"/>
    <n v="138"/>
    <n v="188"/>
    <n v="217"/>
    <n v="46"/>
    <n v="59"/>
    <n v="1164"/>
    <n v="267"/>
    <s v="-"/>
    <n v="0"/>
    <n v="0"/>
    <m/>
    <m/>
    <m/>
    <m/>
    <m/>
    <m/>
    <m/>
    <m/>
    <m/>
    <m/>
    <m/>
    <m/>
    <m/>
    <m/>
    <m/>
    <m/>
    <m/>
  </r>
  <r>
    <x v="0"/>
    <n v="4"/>
    <s v="CAMP"/>
    <x v="3"/>
    <s v="2014-2015"/>
    <x v="2"/>
    <n v="1918"/>
    <n v="744"/>
    <n v="1174"/>
    <n v="12251"/>
    <n v="38"/>
    <n v="6"/>
    <n v="17"/>
    <n v="1342"/>
    <n v="49198.152137247227"/>
    <n v="914"/>
    <n v="1930"/>
    <n v="362"/>
    <n v="544"/>
    <m/>
    <m/>
    <n v="769"/>
    <n v="321"/>
    <n v="347"/>
    <n v="338"/>
    <n v="1918"/>
    <n v="34927941"/>
    <n v="107"/>
    <n v="1618"/>
    <n v="153"/>
    <n v="212"/>
    <n v="311"/>
    <n v="63"/>
    <n v="71"/>
    <n v="1325"/>
    <n v="170"/>
    <n v="3"/>
    <n v="1918"/>
    <n v="337"/>
    <m/>
    <m/>
    <m/>
    <m/>
    <m/>
    <m/>
    <m/>
    <m/>
    <m/>
    <m/>
    <m/>
    <m/>
    <m/>
    <m/>
    <m/>
    <m/>
    <m/>
  </r>
  <r>
    <x v="0"/>
    <n v="7"/>
    <s v="CHIAP"/>
    <x v="4"/>
    <s v="2014-2015"/>
    <x v="2"/>
    <n v="7561"/>
    <n v="2807"/>
    <n v="4754"/>
    <n v="88123"/>
    <n v="148"/>
    <n v="19"/>
    <n v="42"/>
    <n v="5709"/>
    <n v="340566.79062819039"/>
    <n v="3745"/>
    <n v="7916"/>
    <n v="2004"/>
    <n v="1596"/>
    <m/>
    <m/>
    <n v="3283"/>
    <n v="1826"/>
    <n v="1710"/>
    <n v="1545"/>
    <n v="7561"/>
    <n v="135011976"/>
    <n v="450"/>
    <n v="7146"/>
    <n v="416"/>
    <n v="641"/>
    <n v="679"/>
    <n v="133"/>
    <n v="234"/>
    <n v="4291"/>
    <n v="50"/>
    <n v="2"/>
    <n v="2103"/>
    <n v="376"/>
    <m/>
    <m/>
    <m/>
    <m/>
    <m/>
    <m/>
    <m/>
    <m/>
    <m/>
    <m/>
    <m/>
    <m/>
    <m/>
    <m/>
    <m/>
    <m/>
    <m/>
  </r>
  <r>
    <x v="0"/>
    <n v="8"/>
    <s v="CHIH"/>
    <x v="5"/>
    <s v="2014-2015"/>
    <x v="2"/>
    <n v="9728"/>
    <n v="3922"/>
    <n v="5806"/>
    <n v="53751"/>
    <n v="154"/>
    <n v="25"/>
    <n v="45"/>
    <n v="8012"/>
    <n v="201857.30158643681"/>
    <n v="4560"/>
    <n v="9072"/>
    <n v="1944"/>
    <n v="2654"/>
    <m/>
    <m/>
    <n v="3922"/>
    <n v="1732"/>
    <n v="1658"/>
    <n v="1588"/>
    <n v="9728"/>
    <n v="129239077"/>
    <n v="581"/>
    <n v="1561"/>
    <n v="338"/>
    <n v="492"/>
    <n v="917"/>
    <n v="180"/>
    <n v="234"/>
    <n v="5796"/>
    <n v="2102"/>
    <n v="5"/>
    <n v="6288.0000000000009"/>
    <n v="1258"/>
    <n v="1059"/>
    <m/>
    <m/>
    <m/>
    <m/>
    <m/>
    <m/>
    <m/>
    <m/>
    <m/>
    <m/>
    <m/>
    <m/>
    <m/>
    <m/>
    <m/>
    <m/>
  </r>
  <r>
    <x v="1"/>
    <n v="9"/>
    <s v="CDMX"/>
    <x v="6"/>
    <s v="2014-2015"/>
    <x v="2"/>
    <n v="43160"/>
    <n v="18370"/>
    <n v="24790"/>
    <n v="127866"/>
    <n v="545"/>
    <n v="93"/>
    <n v="166"/>
    <n v="32687"/>
    <n v="410538.77783324482"/>
    <n v="23150"/>
    <n v="42808"/>
    <n v="9160"/>
    <n v="17030"/>
    <m/>
    <m/>
    <n v="18821"/>
    <n v="7626"/>
    <n v="7987"/>
    <n v="5123"/>
    <m/>
    <m/>
    <n v="2164"/>
    <n v="37564"/>
    <n v="864"/>
    <n v="1407"/>
    <n v="3225"/>
    <n v="908"/>
    <n v="1373"/>
    <n v="15276"/>
    <n v="224"/>
    <n v="19"/>
    <n v="39344.389997474107"/>
    <n v="2099"/>
    <m/>
    <m/>
    <m/>
    <m/>
    <m/>
    <m/>
    <m/>
    <m/>
    <m/>
    <m/>
    <m/>
    <m/>
    <m/>
    <m/>
    <m/>
    <m/>
    <m/>
  </r>
  <r>
    <x v="0"/>
    <n v="5"/>
    <s v="COAH"/>
    <x v="7"/>
    <s v="2014-2015"/>
    <x v="2"/>
    <n v="7918"/>
    <n v="3366"/>
    <n v="4552"/>
    <n v="44561"/>
    <n v="126"/>
    <n v="24"/>
    <n v="43"/>
    <n v="7125"/>
    <n v="163891.60959595948"/>
    <n v="4255"/>
    <n v="7891"/>
    <n v="1992"/>
    <n v="1465"/>
    <m/>
    <m/>
    <n v="3388"/>
    <n v="1840"/>
    <n v="1767"/>
    <n v="1743"/>
    <n v="7918"/>
    <n v="126959657"/>
    <n v="415"/>
    <n v="7279"/>
    <n v="360"/>
    <n v="516"/>
    <n v="846"/>
    <n v="144"/>
    <n v="234"/>
    <n v="5638"/>
    <n v="757"/>
    <n v="8"/>
    <n v="7918"/>
    <n v="2"/>
    <m/>
    <m/>
    <m/>
    <m/>
    <m/>
    <m/>
    <m/>
    <m/>
    <m/>
    <m/>
    <m/>
    <m/>
    <m/>
    <m/>
    <m/>
    <m/>
    <m/>
  </r>
  <r>
    <x v="0"/>
    <n v="6"/>
    <s v="COL"/>
    <x v="8"/>
    <s v="2014-2015"/>
    <x v="2"/>
    <n v="1906"/>
    <n v="823"/>
    <n v="1083"/>
    <n v="8273"/>
    <n v="41"/>
    <n v="5"/>
    <n v="10"/>
    <n v="1181"/>
    <n v="37641.209130106377"/>
    <n v="942"/>
    <n v="1883"/>
    <n v="398"/>
    <n v="895"/>
    <m/>
    <m/>
    <n v="806"/>
    <n v="323"/>
    <n v="311"/>
    <n v="290"/>
    <n v="1906"/>
    <n v="35267340"/>
    <n v="121"/>
    <n v="8046"/>
    <n v="151"/>
    <n v="224"/>
    <n v="313"/>
    <n v="88"/>
    <n v="81"/>
    <n v="1997"/>
    <n v="9"/>
    <n v="3"/>
    <n v="1412.718721037998"/>
    <n v="51"/>
    <m/>
    <m/>
    <m/>
    <m/>
    <m/>
    <m/>
    <m/>
    <m/>
    <m/>
    <m/>
    <m/>
    <m/>
    <m/>
    <m/>
    <m/>
    <m/>
    <m/>
  </r>
  <r>
    <x v="0"/>
    <n v="10"/>
    <s v="DGO"/>
    <x v="9"/>
    <s v="2014-2015"/>
    <x v="2"/>
    <n v="2483"/>
    <n v="1025"/>
    <n v="1458"/>
    <n v="28693"/>
    <n v="45"/>
    <n v="13"/>
    <n v="11"/>
    <n v="2065"/>
    <n v="104210.00031715367"/>
    <n v="1156"/>
    <n v="2413"/>
    <n v="463"/>
    <n v="942"/>
    <m/>
    <m/>
    <n v="1047"/>
    <n v="423"/>
    <n v="388"/>
    <n v="286"/>
    <n v="2483"/>
    <n v="34487021"/>
    <n v="164"/>
    <n v="2126"/>
    <n v="166"/>
    <n v="246"/>
    <n v="248"/>
    <n v="98"/>
    <n v="78"/>
    <n v="2625"/>
    <n v="72"/>
    <n v="1"/>
    <n v="809"/>
    <n v="606"/>
    <m/>
    <m/>
    <m/>
    <m/>
    <m/>
    <m/>
    <m/>
    <m/>
    <m/>
    <m/>
    <m/>
    <m/>
    <m/>
    <m/>
    <m/>
    <m/>
    <m/>
  </r>
  <r>
    <x v="0"/>
    <n v="11"/>
    <s v="GTO"/>
    <x v="10"/>
    <s v="2014-2015"/>
    <x v="2"/>
    <n v="17733"/>
    <n v="6355"/>
    <n v="11378"/>
    <n v="94122"/>
    <n v="238"/>
    <n v="56"/>
    <n v="70"/>
    <n v="14983"/>
    <n v="349671.87180136447"/>
    <n v="10284"/>
    <n v="18280"/>
    <n v="4173"/>
    <n v="3914"/>
    <m/>
    <m/>
    <n v="6290"/>
    <n v="3874"/>
    <n v="3989"/>
    <n v="3898"/>
    <n v="17733"/>
    <n v="206713084"/>
    <n v="928"/>
    <n v="16708"/>
    <n v="700"/>
    <n v="1008"/>
    <n v="1959"/>
    <n v="491"/>
    <n v="445"/>
    <n v="22282"/>
    <n v="843"/>
    <n v="14"/>
    <n v="16480"/>
    <n v="1763"/>
    <n v="10952"/>
    <m/>
    <m/>
    <m/>
    <m/>
    <m/>
    <m/>
    <m/>
    <m/>
    <m/>
    <m/>
    <m/>
    <m/>
    <m/>
    <m/>
    <m/>
    <m/>
  </r>
  <r>
    <x v="0"/>
    <n v="12"/>
    <s v="GRO"/>
    <x v="11"/>
    <s v="2014-2015"/>
    <x v="2"/>
    <n v="6743"/>
    <n v="2541"/>
    <n v="4202"/>
    <n v="57668"/>
    <n v="123"/>
    <n v="24"/>
    <n v="42"/>
    <n v="5422"/>
    <n v="228424.40717370744"/>
    <n v="3492"/>
    <n v="6996"/>
    <n v="1579"/>
    <n v="2341"/>
    <m/>
    <m/>
    <n v="2982"/>
    <n v="1482"/>
    <n v="1531"/>
    <n v="1151"/>
    <n v="6743"/>
    <n v="112866728"/>
    <n v="318"/>
    <n v="6360"/>
    <n v="397"/>
    <n v="627"/>
    <n v="554"/>
    <n v="224"/>
    <n v="232"/>
    <n v="2933"/>
    <n v="461"/>
    <s v="-"/>
    <n v="0"/>
    <n v="1800"/>
    <m/>
    <m/>
    <m/>
    <m/>
    <m/>
    <m/>
    <m/>
    <m/>
    <m/>
    <m/>
    <m/>
    <m/>
    <m/>
    <m/>
    <m/>
    <m/>
    <m/>
  </r>
  <r>
    <x v="0"/>
    <n v="13"/>
    <s v="HGO"/>
    <x v="12"/>
    <s v="2014-2015"/>
    <x v="2"/>
    <n v="3498"/>
    <n v="1417"/>
    <n v="2081"/>
    <n v="49083"/>
    <n v="65"/>
    <n v="23"/>
    <n v="28"/>
    <n v="2705"/>
    <n v="160118.07123933081"/>
    <n v="1777"/>
    <n v="3924"/>
    <n v="886"/>
    <n v="900"/>
    <m/>
    <m/>
    <n v="1656"/>
    <n v="754"/>
    <n v="696"/>
    <n v="696"/>
    <n v="3498"/>
    <n v="54215457"/>
    <n v="210"/>
    <n v="3323"/>
    <n v="246"/>
    <n v="357"/>
    <n v="415"/>
    <n v="101"/>
    <n v="168"/>
    <n v="2003"/>
    <n v="64"/>
    <s v="-"/>
    <n v="0"/>
    <n v="147"/>
    <m/>
    <m/>
    <m/>
    <m/>
    <m/>
    <m/>
    <m/>
    <m/>
    <m/>
    <m/>
    <m/>
    <m/>
    <m/>
    <m/>
    <m/>
    <m/>
    <m/>
  </r>
  <r>
    <x v="0"/>
    <n v="14"/>
    <s v="JAL"/>
    <x v="13"/>
    <s v="2014-2015"/>
    <x v="2"/>
    <n v="14848"/>
    <n v="5847"/>
    <n v="9001"/>
    <n v="112081"/>
    <n v="255"/>
    <n v="32"/>
    <n v="78"/>
    <n v="11798"/>
    <n v="435120.49567736045"/>
    <n v="6963"/>
    <n v="14705"/>
    <n v="3470"/>
    <n v="4069"/>
    <m/>
    <m/>
    <n v="5964"/>
    <n v="3107"/>
    <n v="3118"/>
    <n v="2991"/>
    <n v="14848"/>
    <n v="219637773"/>
    <n v="905"/>
    <n v="13481"/>
    <n v="549"/>
    <n v="1027"/>
    <n v="2137"/>
    <n v="430"/>
    <n v="503"/>
    <n v="13630"/>
    <n v="1180"/>
    <n v="15"/>
    <n v="13969"/>
    <n v="396"/>
    <n v="491"/>
    <m/>
    <m/>
    <m/>
    <m/>
    <m/>
    <m/>
    <m/>
    <m/>
    <m/>
    <m/>
    <m/>
    <m/>
    <m/>
    <m/>
    <m/>
    <m/>
  </r>
  <r>
    <x v="0"/>
    <n v="15"/>
    <s v="MEX"/>
    <x v="14"/>
    <s v="2014-2015"/>
    <x v="2"/>
    <n v="46706"/>
    <n v="19347"/>
    <n v="27359"/>
    <n v="251537"/>
    <n v="741"/>
    <n v="142"/>
    <n v="214"/>
    <n v="36737"/>
    <n v="911287.59623206698"/>
    <n v="19641"/>
    <n v="47473"/>
    <n v="10457"/>
    <n v="11690"/>
    <m/>
    <m/>
    <n v="20185"/>
    <n v="8724"/>
    <n v="9041"/>
    <n v="7895"/>
    <n v="46706"/>
    <n v="639065378"/>
    <n v="2378"/>
    <n v="41320"/>
    <n v="1287"/>
    <n v="2444"/>
    <n v="3926"/>
    <n v="1184"/>
    <n v="1300"/>
    <n v="25771"/>
    <n v="7841"/>
    <n v="39"/>
    <n v="46706"/>
    <n v="7754"/>
    <n v="671"/>
    <m/>
    <m/>
    <m/>
    <m/>
    <m/>
    <m/>
    <m/>
    <m/>
    <m/>
    <m/>
    <m/>
    <m/>
    <m/>
    <m/>
    <m/>
    <m/>
  </r>
  <r>
    <x v="0"/>
    <n v="16"/>
    <s v="MICH"/>
    <x v="15"/>
    <s v="2014-2015"/>
    <x v="2"/>
    <n v="11679"/>
    <n v="4533"/>
    <n v="7146"/>
    <n v="62780"/>
    <n v="226"/>
    <n v="41"/>
    <n v="63"/>
    <n v="8768"/>
    <n v="265729.05246062623"/>
    <n v="5716"/>
    <n v="11807"/>
    <n v="2858"/>
    <n v="1845"/>
    <m/>
    <m/>
    <n v="5092"/>
    <n v="2342"/>
    <n v="2525"/>
    <n v="2264"/>
    <n v="11679"/>
    <n v="174887424"/>
    <n v="474"/>
    <n v="10530"/>
    <n v="550"/>
    <n v="710"/>
    <n v="1093"/>
    <n v="282"/>
    <n v="355"/>
    <n v="4341"/>
    <n v="136"/>
    <s v="-"/>
    <n v="0"/>
    <n v="49"/>
    <m/>
    <m/>
    <m/>
    <m/>
    <m/>
    <m/>
    <m/>
    <m/>
    <m/>
    <m/>
    <m/>
    <m/>
    <m/>
    <m/>
    <m/>
    <m/>
    <m/>
  </r>
  <r>
    <x v="0"/>
    <n v="17"/>
    <s v="MOR"/>
    <x v="16"/>
    <s v="2014-2015"/>
    <x v="2"/>
    <n v="4787"/>
    <n v="2047"/>
    <n v="2740"/>
    <n v="29951"/>
    <n v="68"/>
    <n v="19"/>
    <n v="13"/>
    <n v="4104"/>
    <n v="103220.9696732038"/>
    <n v="2379"/>
    <n v="4693"/>
    <n v="1230"/>
    <n v="1016"/>
    <m/>
    <m/>
    <n v="2046"/>
    <n v="1119"/>
    <n v="1292"/>
    <n v="1193"/>
    <n v="4787"/>
    <n v="59590257"/>
    <n v="254"/>
    <n v="4287"/>
    <n v="69"/>
    <n v="103"/>
    <n v="592"/>
    <n v="123"/>
    <n v="136"/>
    <n v="2026"/>
    <n v="53"/>
    <n v="5"/>
    <n v="4787"/>
    <n v="2100"/>
    <m/>
    <m/>
    <m/>
    <m/>
    <m/>
    <m/>
    <m/>
    <m/>
    <m/>
    <m/>
    <m/>
    <m/>
    <m/>
    <m/>
    <m/>
    <m/>
    <m/>
  </r>
  <r>
    <x v="0"/>
    <n v="18"/>
    <s v="NAY"/>
    <x v="17"/>
    <s v="2014-2015"/>
    <x v="2"/>
    <n v="2901"/>
    <n v="1099"/>
    <n v="1802"/>
    <n v="18738"/>
    <n v="54"/>
    <n v="8"/>
    <n v="9"/>
    <n v="2675"/>
    <n v="65615.376922982876"/>
    <n v="1361"/>
    <n v="3037"/>
    <n v="655"/>
    <n v="936"/>
    <m/>
    <m/>
    <n v="1201"/>
    <n v="587"/>
    <n v="653"/>
    <n v="646"/>
    <n v="2901"/>
    <n v="44532298"/>
    <n v="124"/>
    <n v="2727"/>
    <n v="137"/>
    <n v="312"/>
    <n v="399"/>
    <n v="93"/>
    <n v="131"/>
    <n v="978"/>
    <n v="48"/>
    <s v="-"/>
    <n v="0"/>
    <n v="0"/>
    <m/>
    <m/>
    <m/>
    <m/>
    <m/>
    <m/>
    <m/>
    <m/>
    <m/>
    <m/>
    <m/>
    <m/>
    <m/>
    <m/>
    <m/>
    <m/>
    <m/>
  </r>
  <r>
    <x v="0"/>
    <n v="19"/>
    <s v="NL"/>
    <x v="18"/>
    <s v="2014-2015"/>
    <x v="2"/>
    <n v="17771"/>
    <n v="7442"/>
    <n v="10329"/>
    <n v="74027"/>
    <n v="250"/>
    <n v="52"/>
    <n v="80"/>
    <n v="14825"/>
    <n v="260623.0422343692"/>
    <n v="9172"/>
    <n v="17191"/>
    <n v="3888"/>
    <n v="5488"/>
    <m/>
    <m/>
    <n v="6947"/>
    <n v="3522"/>
    <n v="3199"/>
    <n v="3134"/>
    <n v="17771"/>
    <n v="184722995"/>
    <n v="904"/>
    <n v="15402"/>
    <n v="497"/>
    <n v="957"/>
    <n v="1734"/>
    <n v="337"/>
    <n v="355"/>
    <n v="42589"/>
    <n v="1144"/>
    <n v="4"/>
    <n v="4341"/>
    <n v="39610"/>
    <n v="588"/>
    <m/>
    <m/>
    <m/>
    <m/>
    <m/>
    <m/>
    <m/>
    <m/>
    <m/>
    <m/>
    <m/>
    <m/>
    <m/>
    <m/>
    <m/>
    <m/>
  </r>
  <r>
    <x v="1"/>
    <n v="20"/>
    <s v="OAX"/>
    <x v="19"/>
    <s v="2014-2015"/>
    <x v="2"/>
    <n v="6254"/>
    <n v="2259"/>
    <n v="3995"/>
    <n v="64296"/>
    <n v="107"/>
    <n v="12"/>
    <n v="33"/>
    <n v="4947"/>
    <n v="242911.31360360072"/>
    <n v="2817"/>
    <n v="6603"/>
    <n v="1551"/>
    <n v="1759"/>
    <m/>
    <m/>
    <n v="2793"/>
    <n v="1369"/>
    <n v="1194"/>
    <n v="931"/>
    <m/>
    <m/>
    <n v="380"/>
    <n v="6064"/>
    <n v="472"/>
    <n v="895"/>
    <n v="530"/>
    <n v="139"/>
    <n v="196"/>
    <n v="2196"/>
    <n v="119"/>
    <n v="1"/>
    <n v="892"/>
    <n v="737"/>
    <m/>
    <m/>
    <m/>
    <m/>
    <m/>
    <m/>
    <m/>
    <m/>
    <m/>
    <m/>
    <m/>
    <m/>
    <m/>
    <m/>
    <m/>
    <m/>
    <m/>
  </r>
  <r>
    <x v="0"/>
    <n v="21"/>
    <s v="PUE"/>
    <x v="20"/>
    <s v="2014-2015"/>
    <x v="2"/>
    <n v="7170"/>
    <n v="2818"/>
    <n v="4352"/>
    <n v="100208"/>
    <n v="144"/>
    <n v="36"/>
    <n v="56"/>
    <n v="6088"/>
    <n v="366757.92912014597"/>
    <n v="3961"/>
    <n v="7277"/>
    <n v="1957"/>
    <n v="917"/>
    <m/>
    <m/>
    <n v="3180"/>
    <n v="1712"/>
    <n v="1760"/>
    <n v="1693"/>
    <n v="7170"/>
    <n v="127235974"/>
    <n v="403"/>
    <n v="6756"/>
    <n v="437"/>
    <n v="532"/>
    <n v="898"/>
    <n v="235"/>
    <n v="262"/>
    <n v="4857"/>
    <n v="214"/>
    <n v="10"/>
    <n v="7170"/>
    <n v="5060"/>
    <m/>
    <m/>
    <m/>
    <m/>
    <m/>
    <m/>
    <m/>
    <m/>
    <m/>
    <m/>
    <m/>
    <m/>
    <m/>
    <m/>
    <m/>
    <m/>
    <m/>
  </r>
  <r>
    <x v="0"/>
    <n v="22"/>
    <s v="QRO"/>
    <x v="21"/>
    <s v="2014-2015"/>
    <x v="2"/>
    <n v="3442"/>
    <n v="1476"/>
    <n v="1966"/>
    <n v="28960"/>
    <n v="55"/>
    <n v="13"/>
    <n v="29"/>
    <n v="2953"/>
    <n v="113567.57967282939"/>
    <n v="2233"/>
    <n v="3224"/>
    <n v="763"/>
    <n v="975"/>
    <m/>
    <m/>
    <n v="1218"/>
    <n v="716"/>
    <n v="703"/>
    <n v="615"/>
    <n v="3442"/>
    <n v="39171273"/>
    <n v="254"/>
    <n v="3006"/>
    <n v="204"/>
    <n v="304"/>
    <n v="357"/>
    <n v="78"/>
    <n v="107"/>
    <n v="1933"/>
    <n v="6"/>
    <n v="2"/>
    <n v="1474"/>
    <n v="0"/>
    <m/>
    <m/>
    <m/>
    <m/>
    <m/>
    <m/>
    <m/>
    <m/>
    <m/>
    <m/>
    <m/>
    <m/>
    <m/>
    <m/>
    <m/>
    <m/>
    <m/>
  </r>
  <r>
    <x v="0"/>
    <n v="23"/>
    <s v="QROO"/>
    <x v="22"/>
    <s v="2014-2015"/>
    <x v="2"/>
    <n v="8119"/>
    <n v="2777"/>
    <n v="5342"/>
    <n v="19254"/>
    <n v="104"/>
    <n v="18"/>
    <n v="29"/>
    <n v="6515"/>
    <n v="81354.429813431314"/>
    <n v="3265"/>
    <n v="8835"/>
    <n v="2037"/>
    <n v="1822"/>
    <m/>
    <m/>
    <n v="3176"/>
    <n v="1843"/>
    <n v="1858"/>
    <n v="1793"/>
    <n v="8119"/>
    <n v="84993349"/>
    <n v="413"/>
    <n v="8108"/>
    <n v="194"/>
    <n v="456"/>
    <n v="751"/>
    <n v="238"/>
    <n v="259"/>
    <n v="4110"/>
    <n v="231"/>
    <n v="4"/>
    <n v="4964.9999999999991"/>
    <n v="1255"/>
    <m/>
    <m/>
    <m/>
    <m/>
    <m/>
    <m/>
    <m/>
    <m/>
    <m/>
    <m/>
    <m/>
    <m/>
    <m/>
    <m/>
    <m/>
    <m/>
    <m/>
  </r>
  <r>
    <x v="0"/>
    <n v="24"/>
    <s v="SLP"/>
    <x v="23"/>
    <s v="2014-2015"/>
    <x v="2"/>
    <n v="5248"/>
    <n v="2096"/>
    <n v="3152"/>
    <n v="44581"/>
    <n v="85"/>
    <n v="25"/>
    <n v="28"/>
    <n v="4189"/>
    <n v="162096.19286616868"/>
    <n v="2587"/>
    <n v="5373"/>
    <n v="1212"/>
    <n v="4280"/>
    <m/>
    <m/>
    <n v="2310"/>
    <n v="1075"/>
    <n v="1099"/>
    <n v="1058"/>
    <n v="5248"/>
    <n v="74400637"/>
    <n v="330"/>
    <n v="4694"/>
    <n v="233"/>
    <n v="372"/>
    <n v="353"/>
    <n v="155"/>
    <n v="145"/>
    <n v="6288"/>
    <n v="137"/>
    <n v="5"/>
    <n v="5248"/>
    <n v="148"/>
    <m/>
    <m/>
    <m/>
    <m/>
    <m/>
    <m/>
    <m/>
    <m/>
    <m/>
    <m/>
    <m/>
    <m/>
    <m/>
    <m/>
    <m/>
    <m/>
    <m/>
  </r>
  <r>
    <x v="0"/>
    <n v="25"/>
    <s v="SIN"/>
    <x v="24"/>
    <s v="2014-2015"/>
    <x v="2"/>
    <n v="8710"/>
    <n v="3009"/>
    <n v="5701"/>
    <n v="42315"/>
    <n v="183"/>
    <n v="51"/>
    <n v="52"/>
    <n v="7519"/>
    <n v="166457.72226850703"/>
    <n v="3539"/>
    <n v="9306"/>
    <n v="2357"/>
    <n v="1943"/>
    <m/>
    <m/>
    <n v="3737"/>
    <n v="2199"/>
    <n v="2310"/>
    <n v="2282"/>
    <n v="8710"/>
    <n v="188341290"/>
    <n v="610"/>
    <n v="8817"/>
    <n v="504"/>
    <n v="696"/>
    <n v="941"/>
    <n v="218"/>
    <n v="470"/>
    <n v="3570"/>
    <n v="326"/>
    <n v="8"/>
    <n v="3764"/>
    <n v="246"/>
    <m/>
    <m/>
    <m/>
    <m/>
    <m/>
    <m/>
    <m/>
    <m/>
    <m/>
    <m/>
    <m/>
    <m/>
    <m/>
    <m/>
    <m/>
    <m/>
    <m/>
  </r>
  <r>
    <x v="0"/>
    <n v="26"/>
    <s v="SON"/>
    <x v="25"/>
    <s v="2014-2015"/>
    <x v="2"/>
    <n v="13206"/>
    <n v="5686"/>
    <n v="7520"/>
    <n v="47196"/>
    <n v="243"/>
    <n v="36"/>
    <n v="47"/>
    <n v="11132"/>
    <n v="157947.49966147181"/>
    <n v="5848"/>
    <n v="12900"/>
    <n v="2678"/>
    <n v="4554"/>
    <m/>
    <m/>
    <n v="5937"/>
    <n v="2409"/>
    <n v="2545"/>
    <n v="2323"/>
    <n v="13206"/>
    <n v="191095252"/>
    <n v="517"/>
    <n v="11662"/>
    <n v="446"/>
    <n v="769"/>
    <n v="1019"/>
    <n v="328"/>
    <n v="405"/>
    <n v="10087"/>
    <n v="1322"/>
    <n v="2"/>
    <n v="1594"/>
    <n v="61"/>
    <m/>
    <m/>
    <m/>
    <m/>
    <m/>
    <m/>
    <m/>
    <m/>
    <m/>
    <m/>
    <m/>
    <m/>
    <m/>
    <m/>
    <m/>
    <m/>
    <m/>
  </r>
  <r>
    <x v="0"/>
    <n v="27"/>
    <s v="TAB"/>
    <x v="26"/>
    <s v="2014-2015"/>
    <x v="2"/>
    <n v="5650"/>
    <n v="2162"/>
    <n v="3488"/>
    <n v="37096"/>
    <n v="76"/>
    <n v="22"/>
    <n v="25"/>
    <n v="4790"/>
    <n v="134485.23354493981"/>
    <n v="2162"/>
    <n v="5452"/>
    <n v="1251"/>
    <n v="949"/>
    <m/>
    <m/>
    <n v="1976"/>
    <n v="1082"/>
    <n v="1138"/>
    <n v="1102"/>
    <n v="5650"/>
    <n v="94704706"/>
    <n v="297"/>
    <n v="4885"/>
    <n v="351"/>
    <n v="475"/>
    <n v="497"/>
    <n v="127"/>
    <n v="187"/>
    <n v="1647"/>
    <n v="18"/>
    <n v="5"/>
    <n v="3743"/>
    <n v="494"/>
    <m/>
    <m/>
    <m/>
    <m/>
    <m/>
    <m/>
    <m/>
    <m/>
    <m/>
    <m/>
    <m/>
    <m/>
    <m/>
    <m/>
    <m/>
    <m/>
    <m/>
  </r>
  <r>
    <x v="0"/>
    <n v="28"/>
    <s v="TAMPS"/>
    <x v="27"/>
    <s v="2014-2015"/>
    <x v="2"/>
    <n v="9281"/>
    <n v="3511"/>
    <n v="5770"/>
    <n v="45178"/>
    <n v="147"/>
    <n v="22"/>
    <n v="49"/>
    <n v="8044"/>
    <n v="186927.85501677764"/>
    <n v="4017"/>
    <n v="9144"/>
    <n v="1900"/>
    <n v="2518"/>
    <m/>
    <m/>
    <n v="3417"/>
    <n v="1728"/>
    <n v="1672"/>
    <n v="1591"/>
    <n v="9281"/>
    <n v="147355193"/>
    <n v="408"/>
    <n v="8306"/>
    <n v="366"/>
    <n v="577"/>
    <n v="955"/>
    <n v="280"/>
    <n v="291"/>
    <n v="11238"/>
    <n v="213"/>
    <n v="8"/>
    <n v="9281"/>
    <n v="59"/>
    <n v="49"/>
    <m/>
    <m/>
    <m/>
    <m/>
    <m/>
    <m/>
    <m/>
    <m/>
    <m/>
    <m/>
    <m/>
    <m/>
    <m/>
    <m/>
    <m/>
    <m/>
  </r>
  <r>
    <x v="0"/>
    <n v="29"/>
    <s v="TLAX"/>
    <x v="28"/>
    <s v="2014-2015"/>
    <x v="2"/>
    <n v="3081"/>
    <n v="1224"/>
    <n v="1857"/>
    <n v="20703"/>
    <n v="43"/>
    <n v="11"/>
    <n v="17"/>
    <n v="2556"/>
    <n v="73465.171265943092"/>
    <n v="1374"/>
    <n v="3098"/>
    <n v="716"/>
    <n v="659"/>
    <m/>
    <m/>
    <n v="1065"/>
    <n v="618"/>
    <n v="628"/>
    <n v="618"/>
    <n v="3081"/>
    <n v="35904311"/>
    <n v="188"/>
    <n v="2759"/>
    <n v="172"/>
    <n v="251"/>
    <n v="372"/>
    <n v="94"/>
    <n v="73"/>
    <n v="740"/>
    <n v="98"/>
    <n v="3"/>
    <n v="3081"/>
    <n v="0"/>
    <m/>
    <m/>
    <m/>
    <m/>
    <m/>
    <m/>
    <m/>
    <m/>
    <m/>
    <m/>
    <m/>
    <m/>
    <m/>
    <m/>
    <m/>
    <m/>
    <m/>
  </r>
  <r>
    <x v="0"/>
    <n v="30"/>
    <s v="VER"/>
    <x v="29"/>
    <s v="2014-2015"/>
    <x v="2"/>
    <n v="9124"/>
    <n v="3471"/>
    <n v="5653"/>
    <n v="126662"/>
    <n v="175"/>
    <n v="36"/>
    <n v="74"/>
    <n v="7781"/>
    <n v="452203.20298290963"/>
    <n v="4973"/>
    <n v="9096"/>
    <n v="2328"/>
    <n v="1636"/>
    <m/>
    <m/>
    <n v="3724"/>
    <n v="2162"/>
    <n v="2105"/>
    <n v="2017"/>
    <n v="9124"/>
    <n v="193254123"/>
    <n v="565"/>
    <n v="8432"/>
    <n v="450"/>
    <n v="644"/>
    <n v="1217"/>
    <n v="293"/>
    <n v="397"/>
    <n v="7761"/>
    <n v="198"/>
    <n v="10"/>
    <n v="7283"/>
    <n v="1150"/>
    <n v="563"/>
    <m/>
    <m/>
    <m/>
    <m/>
    <m/>
    <m/>
    <m/>
    <m/>
    <m/>
    <m/>
    <m/>
    <m/>
    <m/>
    <m/>
    <m/>
    <m/>
  </r>
  <r>
    <x v="0"/>
    <n v="31"/>
    <s v="YUC"/>
    <x v="30"/>
    <s v="2014-2015"/>
    <x v="2"/>
    <n v="4704"/>
    <n v="1794"/>
    <n v="2910"/>
    <n v="30399"/>
    <n v="63"/>
    <n v="14"/>
    <n v="24"/>
    <n v="3574"/>
    <n v="112099.1667818322"/>
    <n v="2327"/>
    <n v="4673"/>
    <n v="950"/>
    <n v="1235"/>
    <m/>
    <m/>
    <n v="1953"/>
    <n v="849"/>
    <n v="998"/>
    <n v="869"/>
    <n v="4704"/>
    <n v="85719142"/>
    <n v="273"/>
    <n v="4385"/>
    <n v="269"/>
    <n v="396"/>
    <n v="360"/>
    <n v="127"/>
    <n v="154"/>
    <n v="5669"/>
    <n v="11"/>
    <n v="4"/>
    <n v="3930"/>
    <n v="1436"/>
    <m/>
    <m/>
    <m/>
    <m/>
    <m/>
    <m/>
    <m/>
    <m/>
    <m/>
    <m/>
    <m/>
    <m/>
    <m/>
    <m/>
    <m/>
    <m/>
    <m/>
  </r>
  <r>
    <x v="0"/>
    <n v="32"/>
    <s v="ZAC"/>
    <x v="31"/>
    <s v="2014-2015"/>
    <x v="2"/>
    <n v="1694"/>
    <n v="695"/>
    <n v="999"/>
    <n v="26654"/>
    <n v="46"/>
    <n v="16"/>
    <n v="7"/>
    <n v="1355"/>
    <n v="91323.11722019731"/>
    <n v="790"/>
    <n v="1759"/>
    <n v="342"/>
    <n v="776"/>
    <m/>
    <m/>
    <n v="704"/>
    <n v="276"/>
    <n v="287"/>
    <n v="283"/>
    <n v="1694"/>
    <n v="31289967"/>
    <n v="85"/>
    <n v="1463"/>
    <n v="147"/>
    <n v="221"/>
    <n v="164"/>
    <n v="63"/>
    <n v="76"/>
    <n v="2318"/>
    <n v="316"/>
    <n v="2"/>
    <n v="1462"/>
    <n v="252"/>
    <m/>
    <m/>
    <m/>
    <m/>
    <m/>
    <m/>
    <m/>
    <m/>
    <m/>
    <m/>
    <m/>
    <m/>
    <m/>
    <m/>
    <m/>
    <m/>
    <m/>
  </r>
  <r>
    <x v="2"/>
    <n v="33"/>
    <s v="OTRO"/>
    <x v="32"/>
    <s v="2014-2015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1"/>
    <s v="AGS"/>
    <x v="0"/>
    <s v="2015-2016"/>
    <x v="3"/>
    <n v="4664"/>
    <n v="1765"/>
    <n v="2899"/>
    <n v="24393"/>
    <n v="84"/>
    <n v="14"/>
    <n v="19"/>
    <n v="4285"/>
    <n v="75584.213108640746"/>
    <n v="2733"/>
    <n v="4702"/>
    <n v="1283"/>
    <n v="1417"/>
    <m/>
    <m/>
    <n v="1859"/>
    <n v="1091"/>
    <n v="1195"/>
    <n v="1104"/>
    <n v="4664"/>
    <n v="55996773"/>
    <n v="299"/>
    <m/>
    <m/>
    <n v="404"/>
    <n v="451"/>
    <n v="106"/>
    <n v="146"/>
    <n v="2738"/>
    <n v="351"/>
    <s v="-"/>
    <n v="0"/>
    <n v="486"/>
    <m/>
    <m/>
    <m/>
    <m/>
    <m/>
    <m/>
    <m/>
    <m/>
    <m/>
    <m/>
    <m/>
    <m/>
    <m/>
    <m/>
    <m/>
    <m/>
    <m/>
  </r>
  <r>
    <x v="0"/>
    <n v="2"/>
    <s v="BC"/>
    <x v="1"/>
    <s v="2015-2016"/>
    <x v="3"/>
    <n v="8256"/>
    <n v="3651"/>
    <n v="4605"/>
    <n v="54941"/>
    <n v="118"/>
    <n v="16"/>
    <n v="25"/>
    <n v="6270"/>
    <n v="190856.64998810878"/>
    <n v="4071"/>
    <n v="8064"/>
    <n v="1768"/>
    <n v="4131"/>
    <m/>
    <m/>
    <n v="3424"/>
    <n v="1519"/>
    <n v="1508"/>
    <n v="1422"/>
    <n v="8256"/>
    <n v="119937277"/>
    <n v="372"/>
    <m/>
    <m/>
    <n v="435"/>
    <n v="627"/>
    <n v="113"/>
    <n v="203"/>
    <n v="2365"/>
    <n v="37"/>
    <n v="6"/>
    <n v="8256"/>
    <n v="65"/>
    <n v="1083"/>
    <m/>
    <m/>
    <m/>
    <m/>
    <m/>
    <m/>
    <m/>
    <m/>
    <m/>
    <m/>
    <m/>
    <m/>
    <m/>
    <m/>
    <m/>
    <m/>
  </r>
  <r>
    <x v="0"/>
    <n v="3"/>
    <s v="BCS"/>
    <x v="2"/>
    <s v="2015-2016"/>
    <x v="3"/>
    <n v="1875"/>
    <n v="660"/>
    <n v="1215"/>
    <n v="12036"/>
    <n v="17"/>
    <n v="6"/>
    <n v="2"/>
    <n v="1313"/>
    <n v="40261.144968133696"/>
    <n v="909"/>
    <n v="1962"/>
    <n v="492"/>
    <n v="802"/>
    <m/>
    <m/>
    <n v="858"/>
    <n v="429"/>
    <n v="331"/>
    <n v="308"/>
    <n v="1875"/>
    <n v="30051110"/>
    <n v="99"/>
    <m/>
    <m/>
    <n v="223.00000000000003"/>
    <n v="217"/>
    <n v="46"/>
    <n v="59"/>
    <n v="707"/>
    <n v="0"/>
    <s v="-"/>
    <n v="0"/>
    <n v="39"/>
    <m/>
    <m/>
    <m/>
    <m/>
    <m/>
    <m/>
    <m/>
    <m/>
    <m/>
    <m/>
    <m/>
    <m/>
    <m/>
    <m/>
    <m/>
    <m/>
    <m/>
  </r>
  <r>
    <x v="0"/>
    <n v="4"/>
    <s v="CAMP"/>
    <x v="3"/>
    <s v="2015-2016"/>
    <x v="3"/>
    <n v="1890"/>
    <n v="753"/>
    <n v="1137"/>
    <n v="13297"/>
    <n v="38"/>
    <n v="6"/>
    <n v="17"/>
    <n v="1260"/>
    <n v="48789.089747920065"/>
    <n v="893"/>
    <n v="1918"/>
    <n v="414"/>
    <n v="750"/>
    <m/>
    <m/>
    <n v="802"/>
    <n v="367"/>
    <n v="321"/>
    <n v="292"/>
    <n v="1890"/>
    <n v="35958415"/>
    <n v="105"/>
    <m/>
    <m/>
    <n v="232"/>
    <n v="311"/>
    <n v="63"/>
    <n v="71"/>
    <n v="421"/>
    <n v="84"/>
    <n v="3"/>
    <n v="1890"/>
    <n v="292"/>
    <m/>
    <m/>
    <m/>
    <m/>
    <m/>
    <m/>
    <m/>
    <m/>
    <m/>
    <m/>
    <m/>
    <m/>
    <m/>
    <m/>
    <m/>
    <m/>
    <m/>
  </r>
  <r>
    <x v="0"/>
    <n v="7"/>
    <s v="CHIAP"/>
    <x v="4"/>
    <s v="2015-2016"/>
    <x v="3"/>
    <n v="7432"/>
    <n v="2774"/>
    <n v="4658"/>
    <n v="92580"/>
    <n v="148"/>
    <n v="19"/>
    <n v="42"/>
    <n v="5860"/>
    <n v="340773.49278888613"/>
    <n v="3501"/>
    <n v="7561"/>
    <n v="1876"/>
    <n v="2104"/>
    <m/>
    <m/>
    <n v="2882"/>
    <n v="1634"/>
    <n v="1826"/>
    <n v="1714"/>
    <n v="7432"/>
    <n v="139280587"/>
    <n v="431"/>
    <m/>
    <m/>
    <n v="549"/>
    <n v="679"/>
    <n v="133"/>
    <n v="234"/>
    <n v="4628"/>
    <n v="46"/>
    <n v="2"/>
    <n v="2007.3832"/>
    <n v="310"/>
    <m/>
    <m/>
    <m/>
    <m/>
    <m/>
    <m/>
    <m/>
    <m/>
    <m/>
    <m/>
    <m/>
    <m/>
    <m/>
    <m/>
    <m/>
    <m/>
    <m/>
  </r>
  <r>
    <x v="0"/>
    <n v="8"/>
    <s v="CHIH"/>
    <x v="5"/>
    <s v="2015-2016"/>
    <x v="3"/>
    <n v="9712"/>
    <n v="4125"/>
    <n v="5587"/>
    <n v="56115"/>
    <n v="154"/>
    <n v="25"/>
    <n v="45"/>
    <n v="8331"/>
    <n v="202192.57072636313"/>
    <n v="4925"/>
    <n v="9728"/>
    <n v="2287"/>
    <n v="4300"/>
    <m/>
    <m/>
    <n v="4195"/>
    <n v="1992"/>
    <n v="1732"/>
    <n v="1675"/>
    <n v="9712"/>
    <n v="133276489"/>
    <n v="558"/>
    <m/>
    <m/>
    <n v="281"/>
    <n v="917"/>
    <n v="180"/>
    <n v="234"/>
    <n v="2680"/>
    <n v="356"/>
    <n v="5"/>
    <n v="6400.2080000000005"/>
    <n v="243"/>
    <n v="851"/>
    <m/>
    <m/>
    <m/>
    <m/>
    <m/>
    <m/>
    <m/>
    <m/>
    <m/>
    <m/>
    <m/>
    <m/>
    <m/>
    <m/>
    <m/>
    <m/>
  </r>
  <r>
    <x v="1"/>
    <n v="9"/>
    <s v="CDMX"/>
    <x v="6"/>
    <s v="2015-2016"/>
    <x v="3"/>
    <n v="44572"/>
    <n v="19962"/>
    <n v="24610"/>
    <n v="149491"/>
    <n v="545"/>
    <n v="93"/>
    <n v="166"/>
    <n v="34314"/>
    <n v="404322.29056727118"/>
    <n v="24975"/>
    <n v="43160"/>
    <n v="8536"/>
    <n v="23772"/>
    <m/>
    <m/>
    <n v="17932"/>
    <n v="6975"/>
    <n v="7626"/>
    <n v="5241"/>
    <m/>
    <m/>
    <n v="2166"/>
    <m/>
    <m/>
    <n v="1701.9999999999998"/>
    <n v="3225"/>
    <n v="908"/>
    <n v="1373"/>
    <n v="8979"/>
    <n v="839"/>
    <n v="19"/>
    <n v="43368.555999999997"/>
    <n v="1770"/>
    <m/>
    <m/>
    <m/>
    <m/>
    <m/>
    <m/>
    <m/>
    <m/>
    <m/>
    <m/>
    <m/>
    <m/>
    <m/>
    <m/>
    <m/>
    <m/>
    <m/>
  </r>
  <r>
    <x v="0"/>
    <n v="5"/>
    <s v="COAH"/>
    <x v="7"/>
    <s v="2015-2016"/>
    <x v="3"/>
    <n v="8924"/>
    <n v="4120"/>
    <n v="4804"/>
    <n v="44444"/>
    <n v="126"/>
    <n v="24"/>
    <n v="43"/>
    <n v="7619"/>
    <n v="164151.24862727136"/>
    <n v="5008"/>
    <n v="7918"/>
    <n v="1920"/>
    <n v="2529"/>
    <m/>
    <m/>
    <n v="3210"/>
    <n v="1732"/>
    <n v="1840"/>
    <n v="1795"/>
    <n v="8924"/>
    <n v="130737471"/>
    <n v="423"/>
    <m/>
    <m/>
    <n v="531"/>
    <n v="846"/>
    <n v="144"/>
    <n v="234"/>
    <n v="500"/>
    <n v="42"/>
    <n v="8"/>
    <n v="8924"/>
    <n v="49"/>
    <m/>
    <m/>
    <m/>
    <m/>
    <m/>
    <m/>
    <m/>
    <m/>
    <m/>
    <m/>
    <m/>
    <m/>
    <m/>
    <m/>
    <m/>
    <m/>
    <m/>
  </r>
  <r>
    <x v="0"/>
    <n v="6"/>
    <s v="COL"/>
    <x v="8"/>
    <s v="2015-2016"/>
    <x v="3"/>
    <n v="1904"/>
    <n v="883"/>
    <n v="1021"/>
    <n v="9679"/>
    <n v="41"/>
    <n v="5"/>
    <n v="10"/>
    <n v="1155"/>
    <n v="37724.691315219032"/>
    <n v="1004"/>
    <n v="1906"/>
    <n v="392"/>
    <n v="1144"/>
    <m/>
    <m/>
    <n v="837"/>
    <n v="313"/>
    <n v="323"/>
    <n v="316"/>
    <n v="1904"/>
    <n v="36314796"/>
    <n v="122"/>
    <m/>
    <m/>
    <n v="525"/>
    <n v="313"/>
    <n v="88"/>
    <n v="81"/>
    <n v="578"/>
    <n v="60"/>
    <n v="3"/>
    <n v="1904"/>
    <n v="75"/>
    <m/>
    <m/>
    <m/>
    <m/>
    <m/>
    <m/>
    <m/>
    <m/>
    <m/>
    <m/>
    <m/>
    <m/>
    <m/>
    <m/>
    <m/>
    <m/>
    <m/>
  </r>
  <r>
    <x v="0"/>
    <n v="10"/>
    <s v="DGO"/>
    <x v="9"/>
    <s v="2015-2016"/>
    <x v="3"/>
    <n v="2338"/>
    <n v="936"/>
    <n v="1402"/>
    <n v="28058"/>
    <n v="45"/>
    <n v="13"/>
    <n v="11"/>
    <n v="1840"/>
    <n v="103820.46888724105"/>
    <n v="1091"/>
    <n v="2483"/>
    <n v="483"/>
    <n v="1241"/>
    <m/>
    <m/>
    <n v="1103"/>
    <n v="435"/>
    <n v="423"/>
    <n v="299"/>
    <n v="2338"/>
    <n v="35482547"/>
    <n v="159"/>
    <m/>
    <m/>
    <n v="210"/>
    <n v="248"/>
    <n v="98"/>
    <n v="78"/>
    <n v="717"/>
    <n v="166"/>
    <n v="1"/>
    <n v="741.14599999999996"/>
    <n v="71"/>
    <m/>
    <m/>
    <m/>
    <m/>
    <m/>
    <m/>
    <m/>
    <m/>
    <m/>
    <m/>
    <m/>
    <m/>
    <m/>
    <m/>
    <m/>
    <m/>
    <m/>
  </r>
  <r>
    <x v="0"/>
    <n v="11"/>
    <s v="GTO"/>
    <x v="10"/>
    <s v="2015-2016"/>
    <x v="3"/>
    <n v="17490"/>
    <n v="6444"/>
    <n v="11046"/>
    <n v="99912"/>
    <n v="238"/>
    <n v="56"/>
    <n v="70"/>
    <n v="13758"/>
    <n v="346948.29293777305"/>
    <n v="10759"/>
    <n v="17733"/>
    <n v="4552"/>
    <n v="6713"/>
    <m/>
    <m/>
    <n v="6684"/>
    <n v="4179"/>
    <n v="3874"/>
    <n v="3774"/>
    <n v="17490"/>
    <n v="213348943"/>
    <n v="901"/>
    <m/>
    <m/>
    <n v="935"/>
    <n v="1959"/>
    <n v="491"/>
    <n v="445"/>
    <n v="30302"/>
    <n v="765"/>
    <n v="14"/>
    <n v="16125.78"/>
    <n v="8014"/>
    <n v="9386"/>
    <m/>
    <m/>
    <m/>
    <m/>
    <m/>
    <m/>
    <m/>
    <m/>
    <m/>
    <m/>
    <m/>
    <m/>
    <m/>
    <m/>
    <m/>
    <m/>
  </r>
  <r>
    <x v="0"/>
    <n v="12"/>
    <s v="GRO"/>
    <x v="11"/>
    <s v="2015-2016"/>
    <x v="3"/>
    <n v="6612"/>
    <n v="2626"/>
    <n v="3986"/>
    <n v="62910"/>
    <n v="123"/>
    <n v="24"/>
    <n v="42"/>
    <n v="5150"/>
    <n v="226435.10807310266"/>
    <n v="3474"/>
    <n v="6743"/>
    <n v="1638"/>
    <n v="3390"/>
    <m/>
    <m/>
    <n v="2844"/>
    <n v="1457"/>
    <n v="1482"/>
    <n v="1088"/>
    <n v="6612"/>
    <n v="116346947"/>
    <n v="307"/>
    <m/>
    <m/>
    <n v="444"/>
    <n v="554"/>
    <n v="224"/>
    <n v="232"/>
    <n v="1571"/>
    <n v="1186"/>
    <s v="-"/>
    <n v="2664.636"/>
    <n v="1462"/>
    <m/>
    <m/>
    <m/>
    <m/>
    <m/>
    <m/>
    <m/>
    <m/>
    <m/>
    <m/>
    <m/>
    <m/>
    <m/>
    <m/>
    <m/>
    <m/>
    <m/>
  </r>
  <r>
    <x v="0"/>
    <n v="13"/>
    <s v="HGO"/>
    <x v="12"/>
    <s v="2015-2016"/>
    <x v="3"/>
    <n v="3713"/>
    <n v="1678"/>
    <n v="2035"/>
    <n v="52292"/>
    <n v="65"/>
    <n v="23"/>
    <n v="28"/>
    <n v="3104"/>
    <n v="160411.42558593757"/>
    <n v="1972"/>
    <n v="3498"/>
    <n v="865"/>
    <n v="1543"/>
    <m/>
    <m/>
    <n v="1523"/>
    <n v="691"/>
    <n v="754"/>
    <n v="745"/>
    <n v="3713"/>
    <n v="55787690"/>
    <n v="220"/>
    <m/>
    <m/>
    <n v="318"/>
    <n v="415"/>
    <n v="101"/>
    <n v="168"/>
    <n v="599"/>
    <n v="287"/>
    <s v="-"/>
    <n v="2339.19"/>
    <n v="274"/>
    <m/>
    <m/>
    <m/>
    <m/>
    <m/>
    <m/>
    <m/>
    <m/>
    <m/>
    <m/>
    <m/>
    <m/>
    <m/>
    <m/>
    <m/>
    <m/>
    <m/>
  </r>
  <r>
    <x v="0"/>
    <n v="14"/>
    <s v="JAL"/>
    <x v="13"/>
    <s v="2015-2016"/>
    <x v="3"/>
    <n v="14614"/>
    <n v="5953"/>
    <n v="8661"/>
    <n v="134984"/>
    <n v="255"/>
    <n v="32"/>
    <n v="78"/>
    <n v="11091"/>
    <n v="434574.23822360497"/>
    <n v="6291"/>
    <n v="14848"/>
    <n v="3414"/>
    <n v="6135"/>
    <m/>
    <m/>
    <n v="5963"/>
    <n v="3081"/>
    <n v="3107"/>
    <n v="2898"/>
    <n v="14614"/>
    <n v="226341467"/>
    <n v="880"/>
    <m/>
    <m/>
    <n v="862"/>
    <n v="2137"/>
    <n v="430"/>
    <n v="503"/>
    <n v="4643"/>
    <n v="606"/>
    <n v="15"/>
    <n v="14087.896000000001"/>
    <n v="463"/>
    <n v="446"/>
    <m/>
    <m/>
    <m/>
    <m/>
    <m/>
    <m/>
    <m/>
    <m/>
    <m/>
    <m/>
    <m/>
    <m/>
    <m/>
    <m/>
    <m/>
    <m/>
  </r>
  <r>
    <x v="0"/>
    <n v="15"/>
    <s v="MEX"/>
    <x v="14"/>
    <s v="2015-2016"/>
    <x v="3"/>
    <n v="47574"/>
    <n v="20621"/>
    <n v="26953"/>
    <n v="278453"/>
    <n v="741"/>
    <n v="142"/>
    <n v="214"/>
    <n v="39966"/>
    <n v="911712.24742897251"/>
    <n v="20736"/>
    <n v="46706"/>
    <n v="10258"/>
    <n v="19423"/>
    <m/>
    <m/>
    <n v="19660"/>
    <n v="8432"/>
    <n v="8724"/>
    <n v="7492"/>
    <n v="47574"/>
    <n v="657722639"/>
    <n v="2293"/>
    <m/>
    <m/>
    <n v="2099"/>
    <n v="3926"/>
    <n v="1184"/>
    <n v="1300"/>
    <n v="17410"/>
    <n v="909"/>
    <n v="39"/>
    <n v="47574"/>
    <n v="6308"/>
    <n v="801"/>
    <m/>
    <m/>
    <m/>
    <m/>
    <m/>
    <m/>
    <m/>
    <m/>
    <m/>
    <m/>
    <m/>
    <m/>
    <m/>
    <m/>
    <m/>
    <m/>
  </r>
  <r>
    <x v="0"/>
    <n v="16"/>
    <s v="MICH"/>
    <x v="15"/>
    <s v="2015-2016"/>
    <x v="3"/>
    <n v="11182"/>
    <n v="4395"/>
    <n v="6787"/>
    <n v="69610"/>
    <n v="226"/>
    <n v="41"/>
    <n v="63"/>
    <n v="8902"/>
    <n v="263050.95224898576"/>
    <n v="5762"/>
    <n v="11679"/>
    <n v="3026"/>
    <n v="2991"/>
    <m/>
    <m/>
    <n v="5099"/>
    <n v="2482"/>
    <n v="2342"/>
    <n v="2059"/>
    <n v="11182"/>
    <n v="180418872"/>
    <n v="466"/>
    <m/>
    <m/>
    <n v="636"/>
    <n v="1093"/>
    <n v="282"/>
    <n v="355"/>
    <n v="1758"/>
    <n v="486"/>
    <s v="-"/>
    <n v="2996.7760000000003"/>
    <n v="5"/>
    <m/>
    <m/>
    <m/>
    <m/>
    <m/>
    <m/>
    <m/>
    <m/>
    <m/>
    <m/>
    <m/>
    <m/>
    <m/>
    <m/>
    <m/>
    <m/>
    <m/>
  </r>
  <r>
    <x v="0"/>
    <n v="17"/>
    <s v="MOR"/>
    <x v="16"/>
    <s v="2015-2016"/>
    <x v="3"/>
    <n v="4599"/>
    <n v="1929"/>
    <n v="2670"/>
    <n v="32523"/>
    <n v="68"/>
    <n v="19"/>
    <n v="13"/>
    <n v="3728"/>
    <n v="102703.04808293736"/>
    <n v="2428"/>
    <n v="4787"/>
    <n v="1255"/>
    <n v="1698"/>
    <m/>
    <m/>
    <n v="2002"/>
    <n v="1130"/>
    <n v="1119"/>
    <n v="1008"/>
    <n v="4599"/>
    <n v="61327462"/>
    <n v="245"/>
    <m/>
    <m/>
    <n v="29"/>
    <n v="592"/>
    <n v="123"/>
    <n v="136"/>
    <n v="3377"/>
    <n v="512"/>
    <n v="5"/>
    <n v="4599"/>
    <n v="1995"/>
    <m/>
    <m/>
    <m/>
    <m/>
    <m/>
    <m/>
    <m/>
    <m/>
    <m/>
    <m/>
    <m/>
    <m/>
    <m/>
    <m/>
    <m/>
    <m/>
    <m/>
  </r>
  <r>
    <x v="0"/>
    <n v="18"/>
    <s v="NAY"/>
    <x v="17"/>
    <s v="2015-2016"/>
    <x v="3"/>
    <n v="3019"/>
    <n v="1264"/>
    <n v="1755"/>
    <n v="20436"/>
    <n v="54"/>
    <n v="8"/>
    <n v="9"/>
    <n v="2603"/>
    <n v="66019.247600487812"/>
    <n v="1486"/>
    <n v="2901"/>
    <n v="683"/>
    <n v="1506"/>
    <m/>
    <m/>
    <n v="1267"/>
    <n v="620"/>
    <n v="587"/>
    <n v="579"/>
    <n v="3019"/>
    <n v="45890293"/>
    <n v="124"/>
    <m/>
    <m/>
    <n v="354"/>
    <n v="399"/>
    <n v="93"/>
    <n v="131"/>
    <n v="289"/>
    <n v="70"/>
    <s v="-"/>
    <n v="0"/>
    <n v="0"/>
    <m/>
    <m/>
    <m/>
    <m/>
    <m/>
    <m/>
    <m/>
    <m/>
    <m/>
    <m/>
    <m/>
    <m/>
    <m/>
    <m/>
    <m/>
    <m/>
    <m/>
  </r>
  <r>
    <x v="0"/>
    <n v="19"/>
    <s v="NL"/>
    <x v="18"/>
    <s v="2015-2016"/>
    <x v="3"/>
    <n v="18667"/>
    <n v="8223"/>
    <n v="10444"/>
    <n v="83352"/>
    <n v="250"/>
    <n v="52"/>
    <n v="80"/>
    <n v="14736"/>
    <n v="262574.27570966166"/>
    <n v="11124"/>
    <n v="17771"/>
    <n v="4210"/>
    <n v="5532"/>
    <m/>
    <m/>
    <n v="7296"/>
    <n v="3797"/>
    <n v="3522"/>
    <n v="3440"/>
    <n v="18667"/>
    <n v="190850231"/>
    <n v="897"/>
    <m/>
    <m/>
    <n v="951"/>
    <n v="1734"/>
    <n v="337"/>
    <n v="355"/>
    <n v="32438"/>
    <n v="1969"/>
    <n v="4"/>
    <n v="13365.572"/>
    <n v="35553"/>
    <n v="1193"/>
    <m/>
    <m/>
    <m/>
    <m/>
    <m/>
    <m/>
    <m/>
    <m/>
    <m/>
    <m/>
    <m/>
    <m/>
    <m/>
    <m/>
    <m/>
    <m/>
  </r>
  <r>
    <x v="1"/>
    <n v="20"/>
    <s v="OAX"/>
    <x v="19"/>
    <s v="2015-2016"/>
    <x v="3"/>
    <n v="6301"/>
    <n v="2568"/>
    <n v="3733"/>
    <n v="64304"/>
    <n v="107"/>
    <n v="12"/>
    <n v="33"/>
    <n v="5010"/>
    <n v="241009.03331680052"/>
    <n v="3238"/>
    <n v="6254"/>
    <n v="1508"/>
    <n v="2768"/>
    <m/>
    <m/>
    <n v="2691"/>
    <n v="1316"/>
    <n v="1369"/>
    <n v="890"/>
    <m/>
    <m/>
    <n v="366"/>
    <m/>
    <m/>
    <n v="772"/>
    <n v="530"/>
    <n v="139"/>
    <n v="196"/>
    <n v="2327"/>
    <n v="35"/>
    <n v="1"/>
    <n v="2016.32"/>
    <n v="602"/>
    <m/>
    <m/>
    <m/>
    <m/>
    <m/>
    <m/>
    <m/>
    <m/>
    <m/>
    <m/>
    <m/>
    <m/>
    <m/>
    <m/>
    <m/>
    <m/>
    <m/>
  </r>
  <r>
    <x v="0"/>
    <n v="21"/>
    <s v="PUE"/>
    <x v="20"/>
    <s v="2015-2016"/>
    <x v="3"/>
    <n v="7128"/>
    <n v="2822"/>
    <n v="4306"/>
    <n v="109274"/>
    <n v="144"/>
    <n v="36"/>
    <n v="56"/>
    <n v="5868"/>
    <n v="367000.54615377309"/>
    <n v="3986"/>
    <n v="7170"/>
    <n v="1873"/>
    <n v="1709"/>
    <m/>
    <m/>
    <n v="2816"/>
    <n v="1602"/>
    <n v="1712"/>
    <n v="1639"/>
    <n v="7128"/>
    <n v="130865900"/>
    <n v="402"/>
    <m/>
    <m/>
    <n v="543"/>
    <n v="898"/>
    <n v="235"/>
    <n v="262"/>
    <n v="2966"/>
    <n v="173"/>
    <n v="10"/>
    <n v="7128"/>
    <n v="3057"/>
    <m/>
    <m/>
    <m/>
    <m/>
    <m/>
    <m/>
    <m/>
    <m/>
    <m/>
    <m/>
    <m/>
    <m/>
    <m/>
    <m/>
    <m/>
    <m/>
    <m/>
  </r>
  <r>
    <x v="0"/>
    <n v="22"/>
    <s v="QRO"/>
    <x v="21"/>
    <s v="2015-2016"/>
    <x v="3"/>
    <n v="3482"/>
    <n v="1374"/>
    <n v="2108"/>
    <n v="32682"/>
    <n v="55"/>
    <n v="13"/>
    <n v="29"/>
    <n v="2775"/>
    <n v="113446.37951932651"/>
    <n v="2270"/>
    <n v="3442"/>
    <n v="768"/>
    <n v="2045"/>
    <m/>
    <m/>
    <n v="1219"/>
    <n v="715"/>
    <n v="716"/>
    <n v="646"/>
    <n v="3482"/>
    <n v="40331193"/>
    <n v="267"/>
    <m/>
    <m/>
    <n v="346"/>
    <n v="357"/>
    <n v="78"/>
    <n v="107"/>
    <n v="297"/>
    <n v="49"/>
    <n v="2"/>
    <n v="1469.4040000000002"/>
    <n v="47"/>
    <m/>
    <m/>
    <m/>
    <m/>
    <m/>
    <m/>
    <m/>
    <m/>
    <m/>
    <m/>
    <m/>
    <m/>
    <m/>
    <m/>
    <m/>
    <m/>
    <m/>
  </r>
  <r>
    <x v="0"/>
    <n v="23"/>
    <s v="QROO"/>
    <x v="22"/>
    <s v="2015-2016"/>
    <x v="3"/>
    <n v="8052"/>
    <n v="3286"/>
    <n v="4766"/>
    <n v="21186"/>
    <n v="104"/>
    <n v="18"/>
    <n v="29"/>
    <n v="6335"/>
    <n v="82157.314791918063"/>
    <n v="3800"/>
    <n v="8119"/>
    <n v="2352"/>
    <n v="4705"/>
    <m/>
    <m/>
    <n v="3687"/>
    <n v="2146"/>
    <n v="1843"/>
    <n v="1734"/>
    <n v="8052"/>
    <n v="87582707"/>
    <n v="405"/>
    <m/>
    <m/>
    <n v="457.99999999999994"/>
    <n v="751"/>
    <n v="238"/>
    <n v="259"/>
    <n v="140"/>
    <n v="56"/>
    <n v="4"/>
    <n v="8052"/>
    <n v="257"/>
    <m/>
    <m/>
    <m/>
    <m/>
    <m/>
    <m/>
    <m/>
    <m/>
    <m/>
    <m/>
    <m/>
    <m/>
    <m/>
    <m/>
    <m/>
    <m/>
    <m/>
  </r>
  <r>
    <x v="0"/>
    <n v="24"/>
    <s v="SLP"/>
    <x v="23"/>
    <s v="2015-2016"/>
    <x v="3"/>
    <n v="5220"/>
    <n v="2258"/>
    <n v="2962"/>
    <n v="48979"/>
    <n v="85"/>
    <n v="25"/>
    <n v="28"/>
    <n v="4052"/>
    <n v="161315.89873923562"/>
    <n v="2783"/>
    <n v="5248"/>
    <n v="1240"/>
    <n v="2937"/>
    <m/>
    <m/>
    <n v="2196"/>
    <n v="1065"/>
    <n v="1075"/>
    <n v="1011"/>
    <n v="5220"/>
    <n v="76597325"/>
    <n v="319"/>
    <m/>
    <m/>
    <n v="380"/>
    <n v="353"/>
    <n v="155"/>
    <n v="145"/>
    <n v="2880"/>
    <n v="198"/>
    <n v="5"/>
    <n v="5220"/>
    <n v="247"/>
    <m/>
    <m/>
    <m/>
    <m/>
    <m/>
    <m/>
    <m/>
    <m/>
    <m/>
    <m/>
    <m/>
    <m/>
    <m/>
    <m/>
    <m/>
    <m/>
    <m/>
  </r>
  <r>
    <x v="0"/>
    <n v="25"/>
    <s v="SIN"/>
    <x v="24"/>
    <s v="2015-2016"/>
    <x v="3"/>
    <n v="8506"/>
    <n v="3326"/>
    <n v="5180"/>
    <n v="47206"/>
    <n v="183"/>
    <n v="51"/>
    <n v="52"/>
    <n v="7159"/>
    <n v="165717.12517568539"/>
    <n v="3838"/>
    <n v="8710"/>
    <n v="2473"/>
    <n v="3113"/>
    <m/>
    <m/>
    <n v="3935"/>
    <n v="2267"/>
    <n v="2199"/>
    <n v="2168"/>
    <n v="8506"/>
    <n v="194265438"/>
    <n v="561"/>
    <m/>
    <m/>
    <n v="584"/>
    <n v="941"/>
    <n v="218"/>
    <n v="470"/>
    <n v="774"/>
    <n v="72"/>
    <n v="8"/>
    <n v="8420.94"/>
    <n v="68"/>
    <m/>
    <m/>
    <m/>
    <m/>
    <m/>
    <m/>
    <m/>
    <m/>
    <m/>
    <m/>
    <m/>
    <m/>
    <m/>
    <m/>
    <m/>
    <m/>
    <m/>
  </r>
  <r>
    <x v="0"/>
    <n v="26"/>
    <s v="SON"/>
    <x v="25"/>
    <s v="2015-2016"/>
    <x v="3"/>
    <n v="14044"/>
    <n v="6199"/>
    <n v="7845"/>
    <n v="47330"/>
    <n v="243"/>
    <n v="36"/>
    <n v="47"/>
    <n v="11328"/>
    <n v="158624.9306182384"/>
    <n v="6300"/>
    <n v="13206"/>
    <n v="2641"/>
    <n v="6601"/>
    <m/>
    <m/>
    <n v="5124"/>
    <n v="2143"/>
    <n v="2409"/>
    <n v="2041"/>
    <n v="14044"/>
    <n v="196627762"/>
    <n v="534"/>
    <m/>
    <m/>
    <n v="637.99999999999989"/>
    <n v="1019"/>
    <n v="328"/>
    <n v="405"/>
    <n v="5816"/>
    <n v="243"/>
    <n v="2"/>
    <n v="5926.5680000000002"/>
    <n v="103"/>
    <m/>
    <m/>
    <m/>
    <m/>
    <m/>
    <m/>
    <m/>
    <m/>
    <m/>
    <m/>
    <m/>
    <m/>
    <m/>
    <m/>
    <m/>
    <m/>
    <m/>
  </r>
  <r>
    <x v="0"/>
    <n v="27"/>
    <s v="TAB"/>
    <x v="26"/>
    <s v="2015-2016"/>
    <x v="3"/>
    <n v="5739"/>
    <n v="2280"/>
    <n v="3459"/>
    <n v="42849"/>
    <n v="76"/>
    <n v="22"/>
    <n v="25"/>
    <n v="4780"/>
    <n v="134263.10997582137"/>
    <m/>
    <n v="5650"/>
    <n v="1475"/>
    <n v="2095"/>
    <m/>
    <m/>
    <n v="2213"/>
    <n v="1319"/>
    <n v="1082"/>
    <n v="1055"/>
    <n v="5739"/>
    <n v="97447789"/>
    <n v="295"/>
    <m/>
    <m/>
    <n v="363"/>
    <n v="497"/>
    <n v="127"/>
    <n v="187"/>
    <n v="682"/>
    <n v="0"/>
    <n v="5"/>
    <n v="3799.2179999999998"/>
    <n v="221"/>
    <m/>
    <m/>
    <m/>
    <m/>
    <m/>
    <m/>
    <m/>
    <m/>
    <m/>
    <m/>
    <m/>
    <m/>
    <m/>
    <m/>
    <m/>
    <m/>
    <m/>
  </r>
  <r>
    <x v="0"/>
    <n v="28"/>
    <s v="TAMPS"/>
    <x v="27"/>
    <s v="2015-2016"/>
    <x v="3"/>
    <n v="9004"/>
    <n v="3517"/>
    <n v="5487"/>
    <n v="53858"/>
    <n v="147"/>
    <n v="22"/>
    <n v="49"/>
    <n v="7552"/>
    <n v="187329.31487792477"/>
    <n v="3948"/>
    <n v="9281"/>
    <n v="2277"/>
    <n v="3933"/>
    <m/>
    <m/>
    <n v="4147"/>
    <n v="2058"/>
    <n v="1728"/>
    <n v="1542"/>
    <n v="9004"/>
    <n v="151650427"/>
    <n v="402"/>
    <m/>
    <m/>
    <n v="482"/>
    <n v="955"/>
    <n v="280"/>
    <n v="291"/>
    <n v="5910"/>
    <n v="12"/>
    <n v="8"/>
    <n v="9004"/>
    <n v="82"/>
    <n v="218"/>
    <m/>
    <m/>
    <m/>
    <m/>
    <m/>
    <m/>
    <m/>
    <m/>
    <m/>
    <m/>
    <m/>
    <m/>
    <m/>
    <m/>
    <m/>
    <m/>
  </r>
  <r>
    <x v="0"/>
    <n v="29"/>
    <s v="TLAX"/>
    <x v="28"/>
    <s v="2015-2016"/>
    <x v="3"/>
    <n v="2848"/>
    <n v="1143"/>
    <n v="1705"/>
    <n v="21334"/>
    <n v="43"/>
    <n v="11"/>
    <n v="17"/>
    <n v="2482"/>
    <n v="73772.184412816365"/>
    <n v="1320"/>
    <n v="3081"/>
    <n v="758"/>
    <n v="1084"/>
    <m/>
    <m/>
    <n v="1332"/>
    <n v="655"/>
    <n v="618"/>
    <n v="598"/>
    <n v="2848"/>
    <n v="36948468"/>
    <n v="175"/>
    <m/>
    <m/>
    <n v="464"/>
    <n v="372"/>
    <n v="94"/>
    <n v="73"/>
    <n v="19"/>
    <n v="75"/>
    <n v="3"/>
    <n v="2848"/>
    <n v="0"/>
    <m/>
    <m/>
    <m/>
    <m/>
    <m/>
    <m/>
    <m/>
    <m/>
    <m/>
    <m/>
    <m/>
    <m/>
    <m/>
    <m/>
    <m/>
    <m/>
    <m/>
  </r>
  <r>
    <x v="0"/>
    <n v="30"/>
    <s v="VER"/>
    <x v="29"/>
    <s v="2015-2016"/>
    <x v="3"/>
    <n v="9327"/>
    <n v="3736"/>
    <n v="5591"/>
    <n v="132416"/>
    <n v="175"/>
    <n v="36"/>
    <n v="74"/>
    <n v="7800"/>
    <n v="447313.21251631447"/>
    <n v="5338"/>
    <n v="9124"/>
    <n v="2493"/>
    <n v="3293"/>
    <m/>
    <m/>
    <n v="3711"/>
    <n v="2271"/>
    <n v="2162"/>
    <n v="2057"/>
    <n v="9327"/>
    <n v="198977232"/>
    <n v="562"/>
    <m/>
    <m/>
    <n v="554.00000000000011"/>
    <n v="1217"/>
    <n v="293"/>
    <n v="397"/>
    <n v="4165"/>
    <n v="234"/>
    <n v="10"/>
    <n v="8674.11"/>
    <n v="842"/>
    <n v="554"/>
    <m/>
    <m/>
    <m/>
    <m/>
    <m/>
    <m/>
    <m/>
    <m/>
    <m/>
    <m/>
    <m/>
    <m/>
    <m/>
    <m/>
    <m/>
    <m/>
  </r>
  <r>
    <x v="0"/>
    <n v="31"/>
    <s v="YUC"/>
    <x v="30"/>
    <s v="2015-2016"/>
    <x v="3"/>
    <n v="4839"/>
    <n v="1913"/>
    <n v="2926"/>
    <n v="30873"/>
    <n v="63"/>
    <n v="14"/>
    <n v="24"/>
    <n v="3433"/>
    <n v="111391.49791559768"/>
    <n v="2466"/>
    <n v="4704"/>
    <n v="1071"/>
    <n v="2218"/>
    <m/>
    <m/>
    <n v="1708"/>
    <n v="899"/>
    <n v="849"/>
    <n v="711"/>
    <n v="4839"/>
    <n v="88468761"/>
    <n v="272"/>
    <m/>
    <m/>
    <n v="361"/>
    <n v="360"/>
    <n v="127"/>
    <n v="154"/>
    <n v="2172"/>
    <n v="163"/>
    <n v="4"/>
    <n v="4839"/>
    <n v="956"/>
    <m/>
    <m/>
    <m/>
    <m/>
    <m/>
    <m/>
    <m/>
    <m/>
    <m/>
    <m/>
    <m/>
    <m/>
    <m/>
    <m/>
    <m/>
    <m/>
    <m/>
  </r>
  <r>
    <x v="0"/>
    <n v="32"/>
    <s v="ZAC"/>
    <x v="31"/>
    <s v="2015-2016"/>
    <x v="3"/>
    <n v="1719"/>
    <n v="779"/>
    <n v="940"/>
    <n v="25816"/>
    <n v="46"/>
    <n v="16"/>
    <n v="7"/>
    <n v="1313"/>
    <n v="90808.802607902966"/>
    <n v="882"/>
    <n v="1694"/>
    <n v="309"/>
    <n v="960"/>
    <m/>
    <m/>
    <n v="767"/>
    <n v="267"/>
    <n v="276"/>
    <n v="271"/>
    <n v="1719"/>
    <n v="32276523"/>
    <n v="84"/>
    <m/>
    <m/>
    <n v="214"/>
    <n v="164"/>
    <n v="63"/>
    <n v="76"/>
    <n v="1767"/>
    <n v="454"/>
    <n v="2"/>
    <n v="1481.7780000000002"/>
    <n v="370"/>
    <m/>
    <m/>
    <m/>
    <m/>
    <m/>
    <m/>
    <m/>
    <m/>
    <m/>
    <m/>
    <m/>
    <m/>
    <m/>
    <m/>
    <m/>
    <m/>
    <m/>
  </r>
  <r>
    <x v="2"/>
    <n v="33"/>
    <s v="OTRO"/>
    <x v="32"/>
    <s v="2015-201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2"/>
    <m/>
    <m/>
    <m/>
    <m/>
    <m/>
    <m/>
    <m/>
    <m/>
    <m/>
    <m/>
    <m/>
    <m/>
    <m/>
    <m/>
    <m/>
    <m/>
    <m/>
  </r>
  <r>
    <x v="0"/>
    <n v="1"/>
    <s v="AGS"/>
    <x v="0"/>
    <s v="2016-2017"/>
    <x v="4"/>
    <n v="4628"/>
    <n v="1649"/>
    <n v="2979"/>
    <n v="24872"/>
    <n v="91"/>
    <m/>
    <m/>
    <n v="4274"/>
    <n v="75552.523142201011"/>
    <n v="1783"/>
    <n v="4664"/>
    <n v="1160"/>
    <n v="1102"/>
    <n v="1365"/>
    <n v="2029"/>
    <n v="1749"/>
    <n v="1021"/>
    <n v="1091"/>
    <n v="995"/>
    <n v="4628"/>
    <n v="61233430.649999999"/>
    <n v="287"/>
    <n v="4475"/>
    <n v="342"/>
    <n v="315"/>
    <n v="429"/>
    <n v="125"/>
    <n v="146"/>
    <n v="2520"/>
    <n v="258"/>
    <n v="0"/>
    <n v="0"/>
    <n v="1257"/>
    <m/>
    <m/>
    <m/>
    <m/>
    <m/>
    <m/>
    <m/>
    <m/>
    <m/>
    <m/>
    <m/>
    <m/>
    <m/>
    <m/>
    <m/>
    <m/>
    <m/>
  </r>
  <r>
    <x v="0"/>
    <n v="2"/>
    <s v="BC"/>
    <x v="1"/>
    <s v="2016-2017"/>
    <x v="4"/>
    <n v="8090"/>
    <n v="3472"/>
    <n v="4618"/>
    <n v="65797"/>
    <n v="123"/>
    <m/>
    <m/>
    <n v="6273"/>
    <n v="189249.65677378187"/>
    <n v="4316"/>
    <n v="8256"/>
    <n v="1592"/>
    <n v="3764"/>
    <n v="1736"/>
    <n v="3537"/>
    <n v="3120"/>
    <n v="1348"/>
    <n v="1519"/>
    <n v="1367"/>
    <n v="8090"/>
    <n v="130855822.47"/>
    <n v="378"/>
    <n v="7110"/>
    <n v="345"/>
    <n v="318"/>
    <n v="749"/>
    <n v="156"/>
    <n v="203"/>
    <n v="2060"/>
    <n v="49"/>
    <n v="6"/>
    <n v="8090"/>
    <n v="12"/>
    <n v="248"/>
    <m/>
    <m/>
    <m/>
    <m/>
    <m/>
    <m/>
    <m/>
    <m/>
    <m/>
    <m/>
    <m/>
    <m/>
    <m/>
    <m/>
    <m/>
    <m/>
  </r>
  <r>
    <x v="0"/>
    <n v="3"/>
    <s v="BCS"/>
    <x v="2"/>
    <s v="2016-2017"/>
    <x v="4"/>
    <n v="1878"/>
    <n v="795"/>
    <n v="1083"/>
    <n v="13365"/>
    <n v="18"/>
    <m/>
    <m/>
    <n v="1353"/>
    <n v="41053.964711196735"/>
    <n v="1070"/>
    <n v="1875"/>
    <n v="549"/>
    <n v="650"/>
    <n v="380"/>
    <n v="585"/>
    <n v="884"/>
    <n v="455"/>
    <n v="429"/>
    <n v="412"/>
    <n v="1878"/>
    <n v="32845717.109999999"/>
    <n v="91"/>
    <n v="1737"/>
    <n v="199"/>
    <n v="154"/>
    <n v="217"/>
    <n v="43"/>
    <n v="59"/>
    <n v="1141"/>
    <n v="52"/>
    <n v="0"/>
    <n v="0"/>
    <n v="0"/>
    <m/>
    <m/>
    <m/>
    <m/>
    <m/>
    <m/>
    <m/>
    <m/>
    <m/>
    <m/>
    <m/>
    <m/>
    <m/>
    <m/>
    <m/>
    <m/>
    <m/>
  </r>
  <r>
    <x v="0"/>
    <n v="4"/>
    <s v="CAMP"/>
    <x v="3"/>
    <s v="2016-2017"/>
    <x v="4"/>
    <n v="1835"/>
    <n v="694"/>
    <n v="1141"/>
    <n v="13650"/>
    <n v="40"/>
    <m/>
    <m/>
    <n v="1231"/>
    <n v="48515.428270691897"/>
    <n v="845"/>
    <n v="1890"/>
    <n v="394"/>
    <n v="477"/>
    <n v="373"/>
    <n v="769"/>
    <n v="799"/>
    <n v="337"/>
    <n v="367"/>
    <n v="317"/>
    <n v="1835"/>
    <n v="39270163.579999998"/>
    <n v="106"/>
    <n v="1635"/>
    <n v="187"/>
    <n v="166"/>
    <n v="331"/>
    <n v="77"/>
    <n v="71"/>
    <n v="209"/>
    <n v="69"/>
    <n v="3"/>
    <n v="1835"/>
    <n v="227"/>
    <m/>
    <m/>
    <m/>
    <m/>
    <m/>
    <m/>
    <m/>
    <m/>
    <m/>
    <m/>
    <m/>
    <m/>
    <m/>
    <m/>
    <m/>
    <m/>
    <m/>
  </r>
  <r>
    <x v="0"/>
    <n v="7"/>
    <s v="CHIAP"/>
    <x v="4"/>
    <s v="2016-2017"/>
    <x v="4"/>
    <n v="7553"/>
    <n v="2843"/>
    <n v="4710"/>
    <n v="95696"/>
    <n v="167"/>
    <m/>
    <m/>
    <n v="6204"/>
    <n v="340247.31517651619"/>
    <n v="3471"/>
    <n v="7432"/>
    <n v="1925"/>
    <n v="2011"/>
    <n v="2042"/>
    <n v="3283"/>
    <n v="3054"/>
    <n v="1704"/>
    <n v="1634"/>
    <n v="1474"/>
    <n v="7553"/>
    <n v="150972766.46000001"/>
    <n v="417"/>
    <n v="7121"/>
    <n v="453"/>
    <n v="419"/>
    <n v="714"/>
    <n v="197"/>
    <n v="234"/>
    <n v="3261"/>
    <n v="126"/>
    <n v="2"/>
    <n v="2031.7569999999998"/>
    <n v="459"/>
    <m/>
    <m/>
    <m/>
    <m/>
    <m/>
    <m/>
    <m/>
    <m/>
    <m/>
    <m/>
    <m/>
    <m/>
    <m/>
    <m/>
    <m/>
    <m/>
    <m/>
  </r>
  <r>
    <x v="0"/>
    <n v="8"/>
    <s v="CHIH"/>
    <x v="5"/>
    <s v="2016-2017"/>
    <x v="4"/>
    <n v="9095"/>
    <n v="3667"/>
    <n v="5428"/>
    <n v="58384"/>
    <n v="157"/>
    <m/>
    <m/>
    <n v="8007"/>
    <n v="202549.85077126772"/>
    <n v="4481"/>
    <n v="9712"/>
    <n v="2136"/>
    <n v="3194"/>
    <n v="1862"/>
    <n v="3922"/>
    <n v="3670"/>
    <n v="1887"/>
    <n v="1992"/>
    <n v="1832"/>
    <n v="9095"/>
    <n v="145516960.11000001"/>
    <n v="595"/>
    <n v="8390"/>
    <n v="469"/>
    <n v="309"/>
    <n v="983"/>
    <n v="165"/>
    <n v="234"/>
    <n v="2090"/>
    <n v="459"/>
    <n v="6"/>
    <n v="7294.19"/>
    <n v="171"/>
    <n v="830"/>
    <m/>
    <m/>
    <m/>
    <m/>
    <m/>
    <m/>
    <m/>
    <m/>
    <m/>
    <m/>
    <m/>
    <m/>
    <m/>
    <m/>
    <m/>
    <m/>
  </r>
  <r>
    <x v="1"/>
    <n v="9"/>
    <s v="CDMX"/>
    <x v="6"/>
    <s v="2016-2017"/>
    <x v="4"/>
    <n v="44532"/>
    <n v="19341"/>
    <n v="25191"/>
    <n v="149092"/>
    <n v="578"/>
    <m/>
    <m/>
    <n v="35070"/>
    <n v="398626.75142456184"/>
    <n v="25391"/>
    <n v="44572"/>
    <n v="8176"/>
    <n v="13525"/>
    <n v="8825"/>
    <n v="18821"/>
    <n v="17832"/>
    <n v="6851"/>
    <n v="6975"/>
    <n v="4488"/>
    <n v="44532"/>
    <n v="712523049.10000002"/>
    <n v="2139"/>
    <n v="36799"/>
    <n v="2124"/>
    <n v="1864"/>
    <n v="3705"/>
    <n v="946"/>
    <n v="1373"/>
    <n v="9656"/>
    <n v="498"/>
    <n v="26"/>
    <n v="43196.04"/>
    <n v="409"/>
    <m/>
    <m/>
    <m/>
    <m/>
    <m/>
    <m/>
    <m/>
    <m/>
    <m/>
    <m/>
    <m/>
    <m/>
    <m/>
    <m/>
    <m/>
    <m/>
    <m/>
  </r>
  <r>
    <x v="0"/>
    <n v="5"/>
    <s v="COAH"/>
    <x v="7"/>
    <s v="2016-2017"/>
    <x v="4"/>
    <n v="9358"/>
    <n v="3694"/>
    <n v="5664"/>
    <n v="45461"/>
    <n v="134"/>
    <m/>
    <m/>
    <n v="7882"/>
    <n v="164049.17509195409"/>
    <n v="4894"/>
    <n v="8924"/>
    <n v="1884"/>
    <n v="1849"/>
    <n v="2013"/>
    <n v="3388"/>
    <n v="3155"/>
    <n v="1717"/>
    <n v="1732"/>
    <n v="1678"/>
    <n v="9358"/>
    <n v="142365785.33000001"/>
    <n v="425"/>
    <n v="8247"/>
    <n v="471"/>
    <n v="381"/>
    <n v="1141"/>
    <n v="168"/>
    <n v="234"/>
    <n v="1777"/>
    <n v="110"/>
    <n v="9"/>
    <n v="9358"/>
    <n v="29"/>
    <m/>
    <m/>
    <m/>
    <m/>
    <m/>
    <m/>
    <m/>
    <m/>
    <m/>
    <m/>
    <m/>
    <m/>
    <m/>
    <m/>
    <m/>
    <m/>
    <m/>
  </r>
  <r>
    <x v="0"/>
    <n v="6"/>
    <s v="COL"/>
    <x v="8"/>
    <s v="2016-2017"/>
    <x v="4"/>
    <n v="1986"/>
    <n v="861"/>
    <n v="1125"/>
    <n v="10098"/>
    <n v="48"/>
    <m/>
    <m/>
    <n v="1204"/>
    <n v="37875.704792408171"/>
    <n v="987"/>
    <n v="1904"/>
    <n v="357"/>
    <n v="912"/>
    <n v="377"/>
    <n v="806"/>
    <n v="813"/>
    <n v="288"/>
    <n v="313"/>
    <n v="291"/>
    <n v="1986"/>
    <n v="39698810.590000004"/>
    <n v="116"/>
    <n v="1609"/>
    <n v="212"/>
    <n v="291"/>
    <n v="320"/>
    <n v="100"/>
    <n v="81"/>
    <n v="446"/>
    <n v="53"/>
    <n v="3"/>
    <n v="1986"/>
    <n v="2"/>
    <m/>
    <m/>
    <m/>
    <m/>
    <m/>
    <m/>
    <m/>
    <m/>
    <m/>
    <m/>
    <m/>
    <m/>
    <m/>
    <m/>
    <m/>
    <m/>
    <m/>
  </r>
  <r>
    <x v="0"/>
    <n v="10"/>
    <s v="DGO"/>
    <x v="9"/>
    <s v="2016-2017"/>
    <x v="4"/>
    <n v="2142"/>
    <n v="853"/>
    <n v="1289"/>
    <n v="28138"/>
    <n v="52"/>
    <m/>
    <m/>
    <n v="1732"/>
    <n v="103161.14488961299"/>
    <n v="989"/>
    <n v="2338"/>
    <n v="457"/>
    <n v="885"/>
    <n v="466"/>
    <n v="1047"/>
    <n v="1022"/>
    <n v="403"/>
    <n v="435"/>
    <n v="328"/>
    <n v="2142"/>
    <n v="38851853.909999996"/>
    <n v="152"/>
    <n v="2028"/>
    <n v="177"/>
    <n v="200"/>
    <n v="260"/>
    <n v="76"/>
    <n v="78"/>
    <n v="836"/>
    <n v="19"/>
    <n v="2"/>
    <n v="1959.93"/>
    <n v="1"/>
    <m/>
    <m/>
    <m/>
    <m/>
    <m/>
    <m/>
    <m/>
    <m/>
    <m/>
    <m/>
    <m/>
    <m/>
    <m/>
    <m/>
    <m/>
    <m/>
    <m/>
  </r>
  <r>
    <x v="0"/>
    <n v="11"/>
    <s v="GTO"/>
    <x v="10"/>
    <s v="2016-2017"/>
    <x v="4"/>
    <n v="17266"/>
    <n v="7056"/>
    <n v="10210"/>
    <n v="101972"/>
    <n v="288"/>
    <m/>
    <m/>
    <n v="13982"/>
    <n v="343052.59941082727"/>
    <n v="9987"/>
    <n v="17490"/>
    <n v="5020"/>
    <n v="4946"/>
    <n v="4145"/>
    <n v="6290"/>
    <n v="8079"/>
    <n v="4743"/>
    <n v="4179"/>
    <n v="4061"/>
    <n v="17266"/>
    <n v="232530027.75999999"/>
    <n v="882"/>
    <n v="16579"/>
    <n v="853"/>
    <n v="770"/>
    <n v="2187"/>
    <n v="494"/>
    <n v="445"/>
    <n v="14908"/>
    <n v="724"/>
    <n v="14"/>
    <n v="15815.655999999999"/>
    <n v="1341"/>
    <n v="10325"/>
    <m/>
    <m/>
    <m/>
    <m/>
    <m/>
    <m/>
    <m/>
    <m/>
    <m/>
    <m/>
    <m/>
    <m/>
    <m/>
    <m/>
    <m/>
    <m/>
  </r>
  <r>
    <x v="0"/>
    <n v="12"/>
    <s v="GRO"/>
    <x v="11"/>
    <s v="2016-2017"/>
    <x v="4"/>
    <n v="6290"/>
    <n v="2388"/>
    <n v="3902"/>
    <n v="67377"/>
    <n v="128"/>
    <m/>
    <m/>
    <n v="4921"/>
    <n v="223862.11018434755"/>
    <n v="3307"/>
    <n v="6612"/>
    <n v="1495"/>
    <n v="2009"/>
    <n v="1595"/>
    <n v="2982"/>
    <n v="2731"/>
    <n v="1363"/>
    <n v="1457"/>
    <n v="928"/>
    <n v="6290"/>
    <n v="126521394.34999999"/>
    <n v="314"/>
    <n v="5952"/>
    <n v="323"/>
    <n v="339"/>
    <n v="719"/>
    <n v="179"/>
    <n v="232"/>
    <n v="1707"/>
    <n v="680"/>
    <n v="3"/>
    <n v="2861.95"/>
    <n v="1021"/>
    <m/>
    <m/>
    <m/>
    <m/>
    <m/>
    <m/>
    <m/>
    <m/>
    <m/>
    <m/>
    <m/>
    <m/>
    <m/>
    <m/>
    <m/>
    <m/>
    <m/>
  </r>
  <r>
    <x v="0"/>
    <n v="13"/>
    <s v="HGO"/>
    <x v="12"/>
    <s v="2016-2017"/>
    <x v="4"/>
    <n v="3715"/>
    <n v="1609"/>
    <n v="2106"/>
    <n v="53656"/>
    <n v="71"/>
    <m/>
    <m/>
    <n v="3240"/>
    <n v="160914.50700483442"/>
    <n v="1987"/>
    <n v="3713"/>
    <n v="836"/>
    <n v="1257"/>
    <n v="887"/>
    <n v="1656"/>
    <n v="1716"/>
    <n v="710"/>
    <n v="691"/>
    <n v="684"/>
    <n v="3715"/>
    <n v="60800287.82"/>
    <n v="213"/>
    <n v="3207"/>
    <n v="280"/>
    <n v="255"/>
    <n v="428"/>
    <n v="112"/>
    <n v="168"/>
    <n v="839"/>
    <n v="512"/>
    <n v="3"/>
    <n v="2403.605"/>
    <n v="183"/>
    <m/>
    <m/>
    <m/>
    <m/>
    <m/>
    <m/>
    <m/>
    <m/>
    <m/>
    <m/>
    <m/>
    <m/>
    <m/>
    <m/>
    <m/>
    <m/>
    <m/>
  </r>
  <r>
    <x v="0"/>
    <n v="14"/>
    <s v="JAL"/>
    <x v="13"/>
    <s v="2016-2017"/>
    <x v="4"/>
    <n v="14712"/>
    <n v="5788"/>
    <n v="8924"/>
    <n v="134735"/>
    <n v="276"/>
    <m/>
    <m/>
    <n v="11181"/>
    <n v="434016.99044479663"/>
    <n v="6016"/>
    <n v="14614"/>
    <n v="3200"/>
    <n v="4120"/>
    <n v="3396"/>
    <n v="5964"/>
    <n v="5644"/>
    <n v="2841"/>
    <n v="3081"/>
    <n v="2825"/>
    <n v="14712"/>
    <n v="246794917.25"/>
    <n v="865"/>
    <n v="13508"/>
    <n v="757"/>
    <n v="717"/>
    <n v="2084"/>
    <n v="411"/>
    <n v="503"/>
    <n v="5689"/>
    <n v="422"/>
    <n v="16"/>
    <n v="14108.808000000001"/>
    <n v="33"/>
    <n v="523"/>
    <m/>
    <m/>
    <m/>
    <m/>
    <m/>
    <m/>
    <m/>
    <m/>
    <m/>
    <m/>
    <m/>
    <m/>
    <m/>
    <m/>
    <m/>
    <m/>
  </r>
  <r>
    <x v="0"/>
    <n v="15"/>
    <s v="MEX"/>
    <x v="14"/>
    <s v="2016-2017"/>
    <x v="4"/>
    <n v="48274"/>
    <n v="20110"/>
    <n v="28164"/>
    <n v="282972"/>
    <n v="777"/>
    <m/>
    <m/>
    <n v="41167"/>
    <n v="912434.1330424099"/>
    <n v="30447"/>
    <n v="47574"/>
    <n v="9775"/>
    <n v="12800"/>
    <n v="10025"/>
    <n v="20185"/>
    <n v="19346"/>
    <n v="8197"/>
    <n v="8432"/>
    <n v="7119"/>
    <n v="48274"/>
    <n v="719471475.25999999"/>
    <n v="2301"/>
    <n v="42079"/>
    <n v="1717"/>
    <n v="1483"/>
    <n v="4445"/>
    <n v="1213"/>
    <n v="1300"/>
    <n v="10044"/>
    <n v="1523"/>
    <n v="39"/>
    <n v="48274"/>
    <n v="21394"/>
    <n v="928"/>
    <m/>
    <m/>
    <m/>
    <m/>
    <m/>
    <m/>
    <m/>
    <m/>
    <m/>
    <m/>
    <m/>
    <m/>
    <m/>
    <m/>
    <m/>
    <m/>
  </r>
  <r>
    <x v="0"/>
    <n v="16"/>
    <s v="MICH"/>
    <x v="15"/>
    <s v="2016-2017"/>
    <x v="4"/>
    <n v="11186"/>
    <n v="4617"/>
    <n v="6569"/>
    <n v="71545"/>
    <n v="219"/>
    <m/>
    <m/>
    <n v="9228"/>
    <n v="260237.037837757"/>
    <n v="5759"/>
    <n v="11182"/>
    <n v="2812"/>
    <n v="2669"/>
    <n v="2762"/>
    <n v="5092"/>
    <n v="4749"/>
    <n v="2396"/>
    <n v="2482"/>
    <n v="2207"/>
    <n v="11186"/>
    <n v="196792051.69999999"/>
    <n v="461"/>
    <n v="10198"/>
    <n v="519"/>
    <n v="446"/>
    <n v="1204"/>
    <n v="270"/>
    <n v="355"/>
    <n v="1852"/>
    <n v="450"/>
    <n v="3"/>
    <n v="3959.8439999999996"/>
    <n v="39"/>
    <m/>
    <m/>
    <m/>
    <m/>
    <m/>
    <m/>
    <m/>
    <m/>
    <m/>
    <m/>
    <m/>
    <m/>
    <m/>
    <m/>
    <m/>
    <m/>
    <m/>
  </r>
  <r>
    <x v="0"/>
    <n v="17"/>
    <s v="MOR"/>
    <x v="16"/>
    <s v="2016-2017"/>
    <x v="4"/>
    <n v="4719"/>
    <n v="2007"/>
    <n v="2712"/>
    <n v="37387"/>
    <n v="72"/>
    <m/>
    <m/>
    <n v="3808"/>
    <n v="102090.35270232501"/>
    <n v="2557"/>
    <n v="4599"/>
    <n v="1143"/>
    <n v="1490"/>
    <n v="1225"/>
    <n v="2046"/>
    <n v="1832"/>
    <n v="1040"/>
    <n v="1130"/>
    <n v="1030"/>
    <n v="4719"/>
    <n v="66564926.93"/>
    <n v="243"/>
    <n v="4091"/>
    <n v="29"/>
    <n v="6"/>
    <n v="532"/>
    <n v="117"/>
    <n v="136"/>
    <n v="902"/>
    <n v="539"/>
    <n v="5"/>
    <n v="4719"/>
    <n v="1860"/>
    <m/>
    <m/>
    <m/>
    <m/>
    <m/>
    <m/>
    <m/>
    <m/>
    <m/>
    <m/>
    <m/>
    <m/>
    <m/>
    <m/>
    <m/>
    <m/>
    <m/>
  </r>
  <r>
    <x v="0"/>
    <n v="18"/>
    <s v="NAY"/>
    <x v="17"/>
    <s v="2016-2017"/>
    <x v="4"/>
    <n v="3195"/>
    <n v="1407"/>
    <n v="1788"/>
    <n v="23258"/>
    <n v="61"/>
    <m/>
    <m/>
    <n v="2775"/>
    <n v="66472.42397422815"/>
    <n v="1704"/>
    <n v="3019"/>
    <n v="717"/>
    <n v="1030"/>
    <n v="642"/>
    <n v="1201"/>
    <n v="1236"/>
    <n v="639"/>
    <n v="620"/>
    <n v="600"/>
    <n v="3195"/>
    <n v="50186140.68"/>
    <n v="123"/>
    <n v="2654"/>
    <n v="310"/>
    <n v="317"/>
    <n v="361"/>
    <n v="62"/>
    <n v="131"/>
    <n v="609"/>
    <n v="25"/>
    <n v="0"/>
    <n v="0"/>
    <n v="0"/>
    <m/>
    <m/>
    <m/>
    <m/>
    <m/>
    <m/>
    <m/>
    <m/>
    <m/>
    <m/>
    <m/>
    <m/>
    <m/>
    <m/>
    <m/>
    <m/>
    <m/>
  </r>
  <r>
    <x v="0"/>
    <n v="19"/>
    <s v="NL"/>
    <x v="18"/>
    <s v="2016-2017"/>
    <x v="4"/>
    <n v="20067"/>
    <n v="9082"/>
    <n v="10985"/>
    <n v="90665"/>
    <n v="270"/>
    <m/>
    <m/>
    <n v="16187"/>
    <n v="264210.40940151631"/>
    <n v="11690"/>
    <n v="18667"/>
    <n v="4003"/>
    <n v="5703"/>
    <n v="3847"/>
    <n v="6947"/>
    <n v="7514"/>
    <n v="3684"/>
    <n v="3797"/>
    <n v="3715"/>
    <n v="20067"/>
    <n v="206380341.27000001"/>
    <n v="989"/>
    <n v="16910"/>
    <n v="774"/>
    <n v="727"/>
    <n v="1549"/>
    <n v="377"/>
    <n v="355"/>
    <n v="44247"/>
    <n v="1812"/>
    <n v="11"/>
    <n v="13765.962"/>
    <n v="40750"/>
    <n v="459"/>
    <m/>
    <m/>
    <m/>
    <m/>
    <m/>
    <m/>
    <m/>
    <m/>
    <m/>
    <m/>
    <m/>
    <m/>
    <m/>
    <m/>
    <m/>
    <m/>
  </r>
  <r>
    <x v="1"/>
    <n v="20"/>
    <s v="OAX"/>
    <x v="19"/>
    <s v="2016-2017"/>
    <x v="4"/>
    <n v="6379"/>
    <n v="2505"/>
    <n v="3874"/>
    <n v="64804"/>
    <n v="127"/>
    <m/>
    <m/>
    <n v="5165"/>
    <n v="238629.8246244514"/>
    <n v="3009"/>
    <n v="6301"/>
    <n v="1392"/>
    <n v="1960"/>
    <n v="1511"/>
    <n v="2793"/>
    <n v="2396"/>
    <n v="1203"/>
    <n v="1316"/>
    <n v="791"/>
    <n v="6379"/>
    <n v="161102864.30000001"/>
    <n v="392"/>
    <n v="5747"/>
    <n v="646"/>
    <n v="836"/>
    <n v="637"/>
    <n v="154"/>
    <n v="196"/>
    <n v="2334"/>
    <n v="26"/>
    <n v="3"/>
    <n v="3106.5730000000003"/>
    <n v="70"/>
    <m/>
    <m/>
    <m/>
    <m/>
    <m/>
    <m/>
    <m/>
    <m/>
    <m/>
    <m/>
    <m/>
    <m/>
    <m/>
    <m/>
    <m/>
    <m/>
    <m/>
  </r>
  <r>
    <x v="0"/>
    <n v="21"/>
    <s v="PUE"/>
    <x v="20"/>
    <s v="2016-2017"/>
    <x v="4"/>
    <n v="7260"/>
    <n v="2814"/>
    <n v="4446"/>
    <n v="112511"/>
    <n v="161"/>
    <m/>
    <m/>
    <n v="6045"/>
    <n v="365819.68174850667"/>
    <n v="3966"/>
    <n v="7128"/>
    <n v="1880"/>
    <n v="1318"/>
    <n v="1956"/>
    <n v="3180"/>
    <n v="2813"/>
    <n v="1681"/>
    <n v="1602"/>
    <n v="1494"/>
    <n v="7260"/>
    <n v="142747445.18000001"/>
    <n v="396"/>
    <n v="6841"/>
    <n v="530"/>
    <n v="409"/>
    <n v="1005"/>
    <n v="230"/>
    <n v="262"/>
    <n v="5771"/>
    <n v="160"/>
    <n v="10"/>
    <n v="7260"/>
    <n v="3613"/>
    <m/>
    <m/>
    <m/>
    <m/>
    <m/>
    <m/>
    <m/>
    <m/>
    <m/>
    <m/>
    <m/>
    <m/>
    <m/>
    <m/>
    <m/>
    <m/>
    <m/>
  </r>
  <r>
    <x v="0"/>
    <n v="22"/>
    <s v="QRO"/>
    <x v="21"/>
    <s v="2016-2017"/>
    <x v="4"/>
    <n v="3418"/>
    <n v="1359"/>
    <n v="2059"/>
    <n v="38223"/>
    <n v="66"/>
    <m/>
    <m/>
    <n v="2773"/>
    <n v="113220.15701172216"/>
    <n v="2344"/>
    <n v="3482"/>
    <n v="806"/>
    <n v="1440"/>
    <n v="755"/>
    <n v="1218"/>
    <n v="1347"/>
    <n v="754"/>
    <n v="715"/>
    <n v="670"/>
    <n v="3418"/>
    <n v="44110957.090000004"/>
    <n v="273"/>
    <n v="3211"/>
    <n v="288"/>
    <n v="266"/>
    <n v="449"/>
    <n v="82"/>
    <n v="107"/>
    <n v="1056"/>
    <n v="99"/>
    <n v="2"/>
    <n v="1435.56"/>
    <n v="7"/>
    <m/>
    <m/>
    <m/>
    <m/>
    <m/>
    <m/>
    <m/>
    <m/>
    <m/>
    <m/>
    <m/>
    <m/>
    <m/>
    <m/>
    <m/>
    <m/>
    <m/>
  </r>
  <r>
    <x v="0"/>
    <n v="23"/>
    <s v="QROO"/>
    <x v="22"/>
    <s v="2016-2017"/>
    <x v="4"/>
    <n v="8129"/>
    <n v="3453"/>
    <n v="4676"/>
    <n v="25788"/>
    <n v="109"/>
    <m/>
    <m/>
    <n v="6630"/>
    <n v="83021.163387304725"/>
    <n v="4139"/>
    <n v="8052"/>
    <n v="2031"/>
    <n v="1707"/>
    <n v="1991"/>
    <n v="3176"/>
    <n v="3422"/>
    <n v="1830"/>
    <n v="2146"/>
    <n v="2025"/>
    <n v="8129"/>
    <n v="95403303.569999993"/>
    <n v="403"/>
    <n v="7425"/>
    <n v="368"/>
    <n v="320"/>
    <n v="771"/>
    <n v="209"/>
    <n v="259"/>
    <n v="101"/>
    <n v="13"/>
    <n v="7"/>
    <n v="8129"/>
    <n v="73"/>
    <m/>
    <m/>
    <m/>
    <m/>
    <m/>
    <m/>
    <m/>
    <m/>
    <m/>
    <m/>
    <m/>
    <m/>
    <m/>
    <m/>
    <m/>
    <m/>
    <m/>
  </r>
  <r>
    <x v="0"/>
    <n v="24"/>
    <s v="SLP"/>
    <x v="23"/>
    <s v="2016-2017"/>
    <x v="4"/>
    <n v="5400"/>
    <n v="2244"/>
    <n v="3156"/>
    <n v="49538"/>
    <n v="90"/>
    <m/>
    <m/>
    <n v="4212"/>
    <n v="160457.85376460687"/>
    <n v="2723"/>
    <n v="5220"/>
    <n v="1143"/>
    <n v="2096"/>
    <n v="1230"/>
    <n v="2310"/>
    <n v="2113"/>
    <n v="980"/>
    <n v="1065"/>
    <n v="1005"/>
    <n v="5400"/>
    <n v="83475628.680000007"/>
    <n v="288"/>
    <n v="4678"/>
    <n v="298"/>
    <n v="375"/>
    <n v="427"/>
    <n v="150"/>
    <n v="145"/>
    <n v="4290"/>
    <n v="71"/>
    <n v="5"/>
    <n v="5400"/>
    <n v="282"/>
    <m/>
    <m/>
    <m/>
    <m/>
    <m/>
    <m/>
    <m/>
    <m/>
    <m/>
    <m/>
    <m/>
    <m/>
    <m/>
    <m/>
    <m/>
    <m/>
    <m/>
  </r>
  <r>
    <x v="0"/>
    <n v="25"/>
    <s v="SIN"/>
    <x v="24"/>
    <s v="2016-2017"/>
    <x v="4"/>
    <n v="7854"/>
    <n v="2997"/>
    <n v="4857"/>
    <n v="43587"/>
    <n v="216"/>
    <m/>
    <m/>
    <n v="6793"/>
    <n v="164736.19777176625"/>
    <n v="3401"/>
    <n v="8506"/>
    <n v="2539"/>
    <n v="2666"/>
    <n v="2391"/>
    <n v="3737"/>
    <n v="3734"/>
    <n v="2335"/>
    <n v="2267"/>
    <n v="2224"/>
    <n v="7854"/>
    <n v="211443635.19"/>
    <n v="525"/>
    <n v="7915"/>
    <n v="516"/>
    <n v="376"/>
    <n v="1117"/>
    <n v="310"/>
    <n v="470"/>
    <n v="331"/>
    <n v="53"/>
    <n v="15"/>
    <n v="7854"/>
    <n v="12"/>
    <m/>
    <m/>
    <m/>
    <m/>
    <m/>
    <m/>
    <m/>
    <m/>
    <m/>
    <m/>
    <m/>
    <m/>
    <m/>
    <m/>
    <m/>
    <m/>
    <m/>
  </r>
  <r>
    <x v="0"/>
    <n v="26"/>
    <s v="SON"/>
    <x v="25"/>
    <s v="2016-2017"/>
    <x v="4"/>
    <n v="15385"/>
    <n v="7175"/>
    <n v="8210"/>
    <n v="59864"/>
    <n v="258"/>
    <m/>
    <m/>
    <n v="12734"/>
    <n v="159265.55746443506"/>
    <n v="7310"/>
    <n v="14044"/>
    <n v="2786"/>
    <n v="6746"/>
    <n v="2671"/>
    <n v="5937"/>
    <n v="5501"/>
    <n v="2385"/>
    <n v="2143"/>
    <n v="1816"/>
    <n v="15385"/>
    <n v="214571296.80000001"/>
    <n v="570"/>
    <n v="12723"/>
    <n v="498"/>
    <n v="519"/>
    <n v="857"/>
    <n v="277"/>
    <n v="405"/>
    <n v="7200"/>
    <n v="587"/>
    <n v="6"/>
    <n v="9000.2250000000004"/>
    <n v="0"/>
    <m/>
    <m/>
    <m/>
    <m/>
    <m/>
    <m/>
    <m/>
    <m/>
    <m/>
    <m/>
    <m/>
    <m/>
    <m/>
    <m/>
    <m/>
    <m/>
    <m/>
  </r>
  <r>
    <x v="0"/>
    <n v="27"/>
    <s v="TAB"/>
    <x v="26"/>
    <s v="2016-2017"/>
    <x v="4"/>
    <n v="5584"/>
    <n v="2109"/>
    <n v="3475"/>
    <n v="41493"/>
    <n v="76"/>
    <m/>
    <m/>
    <n v="4726"/>
    <n v="133909.77929229953"/>
    <n v="2169"/>
    <n v="5739"/>
    <n v="1492"/>
    <n v="1456"/>
    <n v="1225"/>
    <n v="1976"/>
    <n v="2164"/>
    <n v="1341"/>
    <n v="1319"/>
    <n v="1268"/>
    <n v="5584"/>
    <n v="106609849.48"/>
    <n v="293"/>
    <n v="5223"/>
    <n v="308"/>
    <n v="270"/>
    <n v="484"/>
    <n v="103"/>
    <n v="187"/>
    <n v="1976"/>
    <n v="129"/>
    <n v="5"/>
    <n v="3646.3520000000003"/>
    <n v="28"/>
    <m/>
    <m/>
    <m/>
    <m/>
    <m/>
    <m/>
    <m/>
    <m/>
    <m/>
    <m/>
    <m/>
    <m/>
    <m/>
    <m/>
    <m/>
    <m/>
    <m/>
  </r>
  <r>
    <x v="0"/>
    <n v="28"/>
    <s v="TAMPS"/>
    <x v="27"/>
    <s v="2016-2017"/>
    <x v="4"/>
    <n v="8929"/>
    <n v="3648"/>
    <n v="5281"/>
    <n v="57183"/>
    <n v="157"/>
    <m/>
    <m/>
    <n v="7552"/>
    <n v="187483.87275360705"/>
    <n v="4049"/>
    <n v="9004"/>
    <n v="2056"/>
    <n v="3009"/>
    <n v="1878"/>
    <n v="3417"/>
    <n v="3644"/>
    <n v="1856"/>
    <n v="2058"/>
    <n v="1851"/>
    <n v="8929"/>
    <n v="165592499.62"/>
    <n v="397"/>
    <n v="8276"/>
    <n v="366"/>
    <n v="342"/>
    <n v="1077"/>
    <n v="189"/>
    <n v="291"/>
    <n v="3556"/>
    <n v="82"/>
    <n v="8"/>
    <n v="8929"/>
    <n v="110"/>
    <n v="692"/>
    <m/>
    <m/>
    <m/>
    <m/>
    <m/>
    <m/>
    <m/>
    <m/>
    <m/>
    <m/>
    <m/>
    <m/>
    <m/>
    <m/>
    <m/>
    <m/>
  </r>
  <r>
    <x v="0"/>
    <n v="29"/>
    <s v="TLAX"/>
    <x v="28"/>
    <s v="2016-2017"/>
    <x v="4"/>
    <n v="3036"/>
    <n v="1333"/>
    <n v="1703"/>
    <n v="24542"/>
    <n v="48"/>
    <m/>
    <m/>
    <n v="2707"/>
    <n v="74007.270653160027"/>
    <n v="1482"/>
    <n v="2848"/>
    <n v="730"/>
    <n v="861"/>
    <n v="678"/>
    <n v="1065"/>
    <n v="1269"/>
    <n v="604"/>
    <n v="655"/>
    <n v="653"/>
    <n v="3036"/>
    <n v="40424161.539999999"/>
    <n v="172"/>
    <n v="2603"/>
    <n v="358"/>
    <n v="447"/>
    <n v="455"/>
    <n v="75"/>
    <n v="73"/>
    <n v="59"/>
    <n v="42"/>
    <n v="3"/>
    <n v="3036"/>
    <n v="56"/>
    <m/>
    <m/>
    <m/>
    <m/>
    <m/>
    <m/>
    <m/>
    <m/>
    <m/>
    <m/>
    <m/>
    <m/>
    <m/>
    <m/>
    <m/>
    <m/>
    <m/>
  </r>
  <r>
    <x v="0"/>
    <n v="30"/>
    <s v="VER"/>
    <x v="29"/>
    <s v="2016-2017"/>
    <x v="4"/>
    <n v="9302"/>
    <n v="3448"/>
    <n v="5854"/>
    <n v="139073"/>
    <n v="176"/>
    <m/>
    <m/>
    <n v="7792"/>
    <n v="442000.15162501682"/>
    <n v="5408"/>
    <n v="9327"/>
    <n v="2338"/>
    <n v="2147"/>
    <n v="2363"/>
    <n v="3724"/>
    <n v="3472"/>
    <n v="2121"/>
    <n v="2271"/>
    <n v="2135"/>
    <n v="9302"/>
    <n v="217163897.13"/>
    <n v="553"/>
    <n v="8854"/>
    <n v="445"/>
    <n v="432"/>
    <n v="1543"/>
    <n v="318"/>
    <n v="397"/>
    <n v="5370"/>
    <n v="280"/>
    <n v="11"/>
    <n v="8688.0680000000011"/>
    <n v="499"/>
    <n v="601"/>
    <m/>
    <m/>
    <m/>
    <m/>
    <m/>
    <m/>
    <m/>
    <m/>
    <m/>
    <m/>
    <m/>
    <m/>
    <m/>
    <m/>
    <m/>
    <m/>
  </r>
  <r>
    <x v="0"/>
    <n v="31"/>
    <s v="YUC"/>
    <x v="30"/>
    <s v="2016-2017"/>
    <x v="4"/>
    <n v="5114"/>
    <n v="2046"/>
    <n v="3068"/>
    <n v="33197"/>
    <n v="69"/>
    <m/>
    <m/>
    <n v="3718"/>
    <n v="110921.77471538878"/>
    <n v="2642"/>
    <n v="4839"/>
    <n v="1110"/>
    <n v="1488"/>
    <n v="997"/>
    <n v="1953"/>
    <n v="1841"/>
    <n v="982"/>
    <n v="899"/>
    <n v="739"/>
    <n v="5114"/>
    <n v="96311307.430000007"/>
    <n v="271"/>
    <n v="4611"/>
    <n v="313"/>
    <n v="269"/>
    <n v="484"/>
    <n v="158"/>
    <n v="154"/>
    <n v="3318"/>
    <n v="472"/>
    <n v="5"/>
    <n v="5114"/>
    <n v="132"/>
    <m/>
    <m/>
    <m/>
    <m/>
    <m/>
    <m/>
    <m/>
    <m/>
    <m/>
    <m/>
    <m/>
    <m/>
    <m/>
    <m/>
    <m/>
    <m/>
    <m/>
  </r>
  <r>
    <x v="0"/>
    <n v="32"/>
    <s v="ZAC"/>
    <x v="31"/>
    <s v="2016-2017"/>
    <x v="4"/>
    <n v="1610"/>
    <n v="736"/>
    <n v="874"/>
    <n v="30072"/>
    <n v="51"/>
    <m/>
    <m/>
    <n v="1243"/>
    <n v="90115.842866702355"/>
    <n v="812"/>
    <n v="1719"/>
    <n v="348"/>
    <n v="824"/>
    <n v="297"/>
    <n v="704"/>
    <n v="801"/>
    <n v="292"/>
    <n v="267"/>
    <n v="256"/>
    <n v="1610"/>
    <n v="35206510.600000001"/>
    <n v="76"/>
    <n v="1475"/>
    <n v="171"/>
    <n v="180"/>
    <n v="197"/>
    <n v="62"/>
    <n v="76"/>
    <n v="543"/>
    <n v="151"/>
    <n v="2"/>
    <n v="1376.55"/>
    <n v="0"/>
    <m/>
    <m/>
    <m/>
    <m/>
    <m/>
    <m/>
    <m/>
    <m/>
    <m/>
    <m/>
    <m/>
    <m/>
    <m/>
    <m/>
    <m/>
    <m/>
    <m/>
  </r>
  <r>
    <x v="2"/>
    <n v="33"/>
    <s v="OTRO"/>
    <x v="32"/>
    <s v="2016-2017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3"/>
    <m/>
    <m/>
    <m/>
    <m/>
    <m/>
    <m/>
    <m/>
    <m/>
    <m/>
    <m/>
    <m/>
    <m/>
    <m/>
    <m/>
    <m/>
    <m/>
    <m/>
  </r>
  <r>
    <x v="0"/>
    <n v="1"/>
    <s v="AGS"/>
    <x v="0"/>
    <s v="2017-2018"/>
    <x v="5"/>
    <n v="4662"/>
    <n v="1771"/>
    <n v="2891"/>
    <n v="23120"/>
    <n v="90"/>
    <n v="10"/>
    <n v="18"/>
    <n v="4325"/>
    <n v="75598.148803457036"/>
    <n v="2788"/>
    <n v="4628"/>
    <n v="1327"/>
    <n v="1379"/>
    <n v="1218"/>
    <n v="1859"/>
    <n v="1860"/>
    <n v="1194"/>
    <n v="1021"/>
    <n v="930"/>
    <n v="4662"/>
    <n v="62940244.950000003"/>
    <n v="278"/>
    <n v="4462"/>
    <n v="287"/>
    <n v="236"/>
    <n v="429"/>
    <n v="125"/>
    <n v="146"/>
    <n v="3677"/>
    <n v="334"/>
    <n v="0"/>
    <n v="0"/>
    <n v="861"/>
    <m/>
    <m/>
    <m/>
    <m/>
    <m/>
    <m/>
    <m/>
    <m/>
    <m/>
    <m/>
    <m/>
    <m/>
    <m/>
    <m/>
    <m/>
    <m/>
    <m/>
  </r>
  <r>
    <x v="0"/>
    <n v="2"/>
    <s v="BC"/>
    <x v="1"/>
    <s v="2017-2018"/>
    <x v="5"/>
    <n v="8249"/>
    <n v="3372"/>
    <n v="4877"/>
    <n v="57195"/>
    <n v="123"/>
    <n v="22"/>
    <n v="20"/>
    <n v="6428"/>
    <n v="187686.64734289853"/>
    <n v="3870"/>
    <n v="8090"/>
    <n v="1495"/>
    <n v="3591"/>
    <n v="1711"/>
    <n v="3424"/>
    <n v="3277"/>
    <n v="1263"/>
    <n v="1348"/>
    <n v="1238"/>
    <n v="8249"/>
    <n v="134453006.91000003"/>
    <n v="385"/>
    <n v="7058"/>
    <n v="275"/>
    <n v="399"/>
    <n v="749"/>
    <n v="156"/>
    <n v="203"/>
    <n v="3022"/>
    <n v="138"/>
    <n v="6"/>
    <n v="8249"/>
    <n v="40"/>
    <n v="254"/>
    <m/>
    <m/>
    <m/>
    <m/>
    <m/>
    <m/>
    <m/>
    <m/>
    <m/>
    <m/>
    <m/>
    <m/>
    <m/>
    <m/>
    <m/>
    <m/>
  </r>
  <r>
    <x v="0"/>
    <n v="3"/>
    <s v="BCS"/>
    <x v="2"/>
    <s v="2017-2018"/>
    <x v="5"/>
    <n v="1664"/>
    <n v="572"/>
    <n v="1092"/>
    <n v="12013"/>
    <n v="18"/>
    <n v="5"/>
    <n v="1"/>
    <n v="1234"/>
    <n v="41868.59660841593"/>
    <n v="882"/>
    <n v="1878"/>
    <n v="438"/>
    <n v="1654"/>
    <n v="516"/>
    <n v="858"/>
    <n v="709"/>
    <n v="352"/>
    <n v="455"/>
    <n v="422"/>
    <n v="1664"/>
    <n v="33737522.760000005"/>
    <n v="86"/>
    <n v="1670"/>
    <n v="153"/>
    <n v="148"/>
    <n v="217"/>
    <n v="43"/>
    <n v="59"/>
    <n v="792"/>
    <n v="42"/>
    <n v="1"/>
    <n v="1068.288"/>
    <n v="1"/>
    <m/>
    <m/>
    <m/>
    <m/>
    <m/>
    <m/>
    <m/>
    <m/>
    <m/>
    <m/>
    <m/>
    <m/>
    <m/>
    <m/>
    <m/>
    <m/>
    <m/>
  </r>
  <r>
    <x v="0"/>
    <n v="4"/>
    <s v="CAMP"/>
    <x v="3"/>
    <s v="2017-2018"/>
    <x v="5"/>
    <n v="1809"/>
    <n v="726"/>
    <n v="1083"/>
    <n v="15003"/>
    <n v="40"/>
    <n v="9"/>
    <n v="12"/>
    <n v="1279"/>
    <n v="48445.133432320828"/>
    <n v="836"/>
    <n v="1835"/>
    <n v="406"/>
    <n v="575"/>
    <n v="412"/>
    <n v="802"/>
    <n v="744"/>
    <n v="348"/>
    <n v="337"/>
    <n v="289"/>
    <n v="1809"/>
    <n v="40377865.43"/>
    <n v="104"/>
    <n v="1617"/>
    <n v="152"/>
    <n v="202"/>
    <n v="331"/>
    <n v="77"/>
    <n v="71"/>
    <n v="236"/>
    <n v="96"/>
    <n v="3"/>
    <n v="1809"/>
    <n v="395"/>
    <m/>
    <m/>
    <m/>
    <m/>
    <m/>
    <m/>
    <m/>
    <m/>
    <m/>
    <m/>
    <m/>
    <m/>
    <m/>
    <m/>
    <m/>
    <m/>
    <m/>
  </r>
  <r>
    <x v="0"/>
    <n v="7"/>
    <s v="CHIAP"/>
    <x v="4"/>
    <s v="2017-2018"/>
    <x v="5"/>
    <n v="7408"/>
    <n v="2680"/>
    <n v="4728"/>
    <n v="93621"/>
    <n v="167"/>
    <n v="18"/>
    <n v="51"/>
    <n v="6135"/>
    <n v="339199.38612340792"/>
    <n v="3253"/>
    <n v="7553"/>
    <n v="1871"/>
    <n v="2546"/>
    <n v="1816"/>
    <n v="2882"/>
    <n v="2807"/>
    <n v="1669"/>
    <n v="1704"/>
    <n v="1459"/>
    <n v="7408"/>
    <n v="154916086.87"/>
    <n v="412"/>
    <n v="7072"/>
    <n v="382"/>
    <n v="462"/>
    <n v="714"/>
    <n v="197"/>
    <n v="234"/>
    <n v="3960"/>
    <n v="159"/>
    <n v="2"/>
    <n v="2059.424"/>
    <n v="140"/>
    <m/>
    <m/>
    <m/>
    <m/>
    <m/>
    <m/>
    <m/>
    <m/>
    <m/>
    <m/>
    <m/>
    <m/>
    <m/>
    <m/>
    <m/>
    <m/>
    <m/>
  </r>
  <r>
    <x v="0"/>
    <n v="8"/>
    <s v="CHIH"/>
    <x v="5"/>
    <s v="2017-2018"/>
    <x v="5"/>
    <n v="9203"/>
    <n v="3776"/>
    <n v="5427"/>
    <n v="55630"/>
    <n v="157"/>
    <n v="30"/>
    <n v="34"/>
    <n v="8150"/>
    <n v="202962.54778543254"/>
    <n v="4315"/>
    <n v="9095"/>
    <n v="1927"/>
    <n v="3502"/>
    <n v="2161"/>
    <n v="4195"/>
    <n v="3922"/>
    <n v="1759"/>
    <n v="1887"/>
    <n v="1718"/>
    <n v="9203"/>
    <n v="149622540.54999998"/>
    <n v="537"/>
    <n v="8087"/>
    <n v="294"/>
    <n v="391"/>
    <n v="983"/>
    <n v="165"/>
    <n v="234"/>
    <n v="9869"/>
    <n v="306"/>
    <n v="6"/>
    <n v="7454.43"/>
    <n v="178"/>
    <n v="688"/>
    <m/>
    <m/>
    <m/>
    <m/>
    <m/>
    <m/>
    <m/>
    <m/>
    <m/>
    <m/>
    <m/>
    <m/>
    <m/>
    <m/>
    <m/>
    <m/>
  </r>
  <r>
    <x v="1"/>
    <n v="9"/>
    <s v="CDMX"/>
    <x v="6"/>
    <s v="2017-2018"/>
    <x v="5"/>
    <n v="44212"/>
    <n v="18720"/>
    <n v="25492"/>
    <n v="144092"/>
    <n v="579"/>
    <n v="101"/>
    <n v="146"/>
    <n v="35156"/>
    <n v="393735.68071603618"/>
    <n v="25657"/>
    <n v="44532"/>
    <n v="8423"/>
    <n v="23750"/>
    <n v="8027"/>
    <n v="17932"/>
    <n v="18370"/>
    <n v="7196"/>
    <n v="6851"/>
    <n v="4513"/>
    <n v="44212"/>
    <n v="727900113.59000003"/>
    <n v="2140"/>
    <n v="37862"/>
    <n v="1406"/>
    <n v="2361"/>
    <n v="3705"/>
    <n v="946"/>
    <n v="1373"/>
    <n v="10792"/>
    <n v="637"/>
    <n v="26"/>
    <n v="42885.64"/>
    <n v="1500"/>
    <m/>
    <m/>
    <m/>
    <m/>
    <m/>
    <m/>
    <m/>
    <m/>
    <m/>
    <m/>
    <m/>
    <m/>
    <m/>
    <m/>
    <m/>
    <m/>
    <m/>
  </r>
  <r>
    <x v="0"/>
    <n v="5"/>
    <s v="COAH"/>
    <x v="7"/>
    <s v="2017-2018"/>
    <x v="5"/>
    <n v="10066"/>
    <n v="4262"/>
    <n v="5804"/>
    <n v="60662"/>
    <n v="134"/>
    <n v="45"/>
    <n v="37"/>
    <n v="8575"/>
    <n v="163739.33545428055"/>
    <n v="6033"/>
    <n v="9358"/>
    <n v="2223"/>
    <n v="1964"/>
    <n v="1871"/>
    <n v="3210"/>
    <n v="3366"/>
    <n v="2042"/>
    <n v="1717"/>
    <n v="1686"/>
    <n v="10066"/>
    <n v="146240443.06"/>
    <n v="436"/>
    <n v="8669"/>
    <n v="357"/>
    <n v="536"/>
    <n v="1141"/>
    <n v="168"/>
    <n v="234"/>
    <n v="716"/>
    <n v="92"/>
    <n v="9"/>
    <n v="10066"/>
    <n v="194"/>
    <m/>
    <m/>
    <m/>
    <m/>
    <m/>
    <m/>
    <m/>
    <m/>
    <m/>
    <m/>
    <m/>
    <m/>
    <m/>
    <m/>
    <m/>
    <m/>
    <m/>
  </r>
  <r>
    <x v="0"/>
    <n v="6"/>
    <s v="COL"/>
    <x v="8"/>
    <s v="2017-2018"/>
    <x v="5"/>
    <n v="1866"/>
    <n v="701"/>
    <n v="1165"/>
    <n v="11068"/>
    <n v="48"/>
    <n v="5"/>
    <n v="11"/>
    <n v="1144"/>
    <n v="38113.864591336576"/>
    <n v="846"/>
    <n v="1986"/>
    <n v="379"/>
    <n v="947"/>
    <n v="365"/>
    <n v="837"/>
    <n v="823"/>
    <n v="305"/>
    <n v="288"/>
    <n v="259"/>
    <n v="1866"/>
    <n v="40848159.449999996"/>
    <n v="117"/>
    <n v="1681"/>
    <n v="237"/>
    <n v="204"/>
    <n v="320"/>
    <n v="100"/>
    <n v="81"/>
    <n v="833"/>
    <n v="0"/>
    <n v="3"/>
    <n v="1866"/>
    <n v="201"/>
    <m/>
    <m/>
    <m/>
    <m/>
    <m/>
    <m/>
    <m/>
    <m/>
    <m/>
    <m/>
    <m/>
    <m/>
    <m/>
    <m/>
    <m/>
    <m/>
    <m/>
  </r>
  <r>
    <x v="0"/>
    <n v="10"/>
    <s v="DGO"/>
    <x v="9"/>
    <s v="2017-2018"/>
    <x v="5"/>
    <n v="2067"/>
    <n v="935"/>
    <n v="1132"/>
    <n v="32676"/>
    <n v="52"/>
    <n v="17"/>
    <n v="8"/>
    <n v="1722"/>
    <n v="102443.98670163711"/>
    <n v="1074"/>
    <n v="2142"/>
    <n v="459"/>
    <n v="1172"/>
    <n v="479"/>
    <n v="1103"/>
    <n v="1025"/>
    <n v="398"/>
    <n v="403"/>
    <n v="275"/>
    <n v="2067"/>
    <n v="39988050.210000001"/>
    <n v="151"/>
    <n v="1787"/>
    <n v="164"/>
    <n v="181"/>
    <n v="260"/>
    <n v="76"/>
    <n v="78"/>
    <n v="2362"/>
    <n v="179"/>
    <n v="2"/>
    <n v="1914.0419999999999"/>
    <n v="37"/>
    <m/>
    <m/>
    <m/>
    <m/>
    <m/>
    <m/>
    <m/>
    <m/>
    <m/>
    <m/>
    <m/>
    <m/>
    <m/>
    <m/>
    <m/>
    <m/>
    <m/>
  </r>
  <r>
    <x v="0"/>
    <n v="11"/>
    <s v="GTO"/>
    <x v="10"/>
    <s v="2017-2018"/>
    <x v="5"/>
    <n v="18067"/>
    <n v="7538"/>
    <n v="10529"/>
    <n v="120616"/>
    <n v="288"/>
    <n v="71"/>
    <n v="65"/>
    <n v="15006"/>
    <n v="339322.14632718515"/>
    <n v="10205"/>
    <n v="17266"/>
    <n v="4311"/>
    <n v="6262"/>
    <n v="4395"/>
    <n v="6684"/>
    <n v="6355"/>
    <n v="4047"/>
    <n v="4743"/>
    <n v="4477"/>
    <n v="18067"/>
    <n v="239110062.75999999"/>
    <n v="860"/>
    <n v="16023"/>
    <n v="753"/>
    <n v="1087"/>
    <n v="2187"/>
    <n v="494"/>
    <n v="445"/>
    <n v="8486"/>
    <n v="674"/>
    <n v="16"/>
    <n v="18067"/>
    <n v="6537"/>
    <n v="12897"/>
    <m/>
    <m/>
    <m/>
    <m/>
    <m/>
    <m/>
    <m/>
    <m/>
    <m/>
    <m/>
    <m/>
    <m/>
    <m/>
    <m/>
    <m/>
    <m/>
  </r>
  <r>
    <x v="0"/>
    <n v="12"/>
    <s v="GRO"/>
    <x v="11"/>
    <s v="2017-2018"/>
    <x v="5"/>
    <n v="6152"/>
    <n v="2421"/>
    <n v="3731"/>
    <n v="67537"/>
    <n v="128"/>
    <n v="22"/>
    <n v="43"/>
    <n v="4956"/>
    <n v="221402.55210199981"/>
    <n v="3288"/>
    <n v="6290"/>
    <n v="1515"/>
    <n v="3138"/>
    <n v="1583"/>
    <n v="2844"/>
    <n v="2541"/>
    <n v="1362"/>
    <n v="1363"/>
    <n v="760"/>
    <n v="6152"/>
    <n v="129986523.43000001"/>
    <n v="298"/>
    <n v="5745"/>
    <n v="239"/>
    <n v="327"/>
    <n v="719"/>
    <n v="179"/>
    <n v="232"/>
    <n v="1480"/>
    <n v="1068"/>
    <n v="4"/>
    <n v="2823.768"/>
    <n v="1175"/>
    <m/>
    <m/>
    <m/>
    <m/>
    <m/>
    <m/>
    <m/>
    <m/>
    <m/>
    <m/>
    <m/>
    <m/>
    <m/>
    <m/>
    <m/>
    <m/>
    <m/>
  </r>
  <r>
    <x v="0"/>
    <n v="13"/>
    <s v="HGO"/>
    <x v="12"/>
    <s v="2017-2018"/>
    <x v="5"/>
    <n v="3648"/>
    <n v="1434"/>
    <n v="2214"/>
    <n v="54631"/>
    <n v="71"/>
    <n v="34"/>
    <n v="19"/>
    <n v="3195"/>
    <n v="161393.80743884723"/>
    <n v="1711"/>
    <n v="3715"/>
    <n v="818"/>
    <n v="1400"/>
    <n v="798"/>
    <n v="1523"/>
    <n v="1417"/>
    <n v="693"/>
    <n v="710"/>
    <n v="703"/>
    <n v="3648"/>
    <n v="62427701.560000002"/>
    <n v="203"/>
    <n v="3220"/>
    <n v="251"/>
    <n v="251"/>
    <n v="428"/>
    <n v="112"/>
    <n v="168"/>
    <n v="1175"/>
    <n v="361"/>
    <n v="6"/>
    <n v="3648"/>
    <n v="408"/>
    <m/>
    <m/>
    <m/>
    <m/>
    <m/>
    <m/>
    <m/>
    <m/>
    <m/>
    <m/>
    <m/>
    <m/>
    <m/>
    <m/>
    <m/>
    <m/>
    <m/>
  </r>
  <r>
    <x v="0"/>
    <n v="14"/>
    <s v="JAL"/>
    <x v="13"/>
    <s v="2017-2018"/>
    <x v="5"/>
    <n v="14856"/>
    <n v="5950"/>
    <n v="8906"/>
    <n v="138980"/>
    <n v="276"/>
    <n v="36"/>
    <n v="68"/>
    <n v="11552"/>
    <n v="433694.28945317143"/>
    <n v="6319"/>
    <n v="14712"/>
    <n v="3214"/>
    <n v="5352"/>
    <n v="3389"/>
    <n v="5963"/>
    <n v="5847"/>
    <n v="2823"/>
    <n v="2841"/>
    <n v="2194"/>
    <n v="14856"/>
    <n v="253606710.19"/>
    <n v="877"/>
    <n v="13241"/>
    <n v="705"/>
    <n v="920"/>
    <n v="2084"/>
    <n v="411"/>
    <n v="503"/>
    <n v="8294"/>
    <n v="907"/>
    <n v="16"/>
    <n v="14232.048000000001"/>
    <n v="228"/>
    <n v="504"/>
    <m/>
    <m/>
    <m/>
    <m/>
    <m/>
    <m/>
    <m/>
    <m/>
    <m/>
    <m/>
    <m/>
    <m/>
    <m/>
    <m/>
    <m/>
    <m/>
  </r>
  <r>
    <x v="0"/>
    <n v="15"/>
    <s v="MEX"/>
    <x v="14"/>
    <s v="2017-2018"/>
    <x v="5"/>
    <n v="48591"/>
    <n v="18859"/>
    <n v="29732"/>
    <n v="291713"/>
    <n v="774"/>
    <n v="133"/>
    <n v="197"/>
    <n v="41890"/>
    <n v="914058.32544967113"/>
    <n v="24437"/>
    <n v="48274"/>
    <n v="10103"/>
    <n v="17407"/>
    <n v="9879"/>
    <n v="19660"/>
    <n v="19347"/>
    <n v="8478"/>
    <n v="8197"/>
    <n v="6722"/>
    <n v="48591"/>
    <n v="739896898.45999992"/>
    <n v="2322"/>
    <n v="43524"/>
    <n v="1395"/>
    <n v="2033"/>
    <n v="4445"/>
    <n v="1213"/>
    <n v="1300"/>
    <n v="14747"/>
    <n v="1031"/>
    <n v="39"/>
    <n v="48591"/>
    <n v="30630"/>
    <n v="429"/>
    <m/>
    <m/>
    <m/>
    <m/>
    <m/>
    <m/>
    <m/>
    <m/>
    <m/>
    <m/>
    <m/>
    <m/>
    <m/>
    <m/>
    <m/>
    <m/>
  </r>
  <r>
    <x v="0"/>
    <n v="16"/>
    <s v="MICH"/>
    <x v="15"/>
    <s v="2017-2018"/>
    <x v="5"/>
    <n v="11181"/>
    <n v="4573"/>
    <n v="6608"/>
    <n v="70513"/>
    <n v="220"/>
    <n v="28"/>
    <n v="52"/>
    <n v="9395"/>
    <n v="257745.76093572829"/>
    <n v="5520"/>
    <n v="11186"/>
    <n v="2820"/>
    <n v="3671"/>
    <n v="2833"/>
    <n v="5099"/>
    <n v="4533"/>
    <n v="2425"/>
    <n v="2396"/>
    <n v="2150"/>
    <n v="11181"/>
    <n v="202375074.75999999"/>
    <n v="447"/>
    <n v="10085"/>
    <n v="357"/>
    <n v="481"/>
    <n v="1204"/>
    <n v="270"/>
    <n v="355"/>
    <n v="3982"/>
    <n v="270"/>
    <n v="4"/>
    <n v="4136.97"/>
    <n v="7715"/>
    <m/>
    <m/>
    <m/>
    <m/>
    <m/>
    <m/>
    <m/>
    <m/>
    <m/>
    <m/>
    <m/>
    <m/>
    <m/>
    <m/>
    <m/>
    <m/>
    <m/>
  </r>
  <r>
    <x v="0"/>
    <n v="17"/>
    <s v="MOR"/>
    <x v="16"/>
    <s v="2017-2018"/>
    <x v="5"/>
    <n v="4697"/>
    <n v="1947"/>
    <n v="2750"/>
    <n v="31772"/>
    <n v="72"/>
    <n v="15"/>
    <n v="16"/>
    <n v="3864"/>
    <n v="101461.14491197071"/>
    <n v="2284"/>
    <n v="4719"/>
    <n v="1174"/>
    <n v="3436"/>
    <n v="1223"/>
    <n v="2002"/>
    <n v="2047"/>
    <n v="1076"/>
    <n v="1040"/>
    <n v="957"/>
    <n v="4697"/>
    <n v="68201138.769999996"/>
    <n v="242"/>
    <n v="4169"/>
    <n v="6"/>
    <n v="0"/>
    <n v="532"/>
    <n v="117"/>
    <n v="136"/>
    <n v="4191"/>
    <n v="373"/>
    <n v="5"/>
    <n v="4697"/>
    <n v="1311"/>
    <m/>
    <m/>
    <m/>
    <m/>
    <m/>
    <m/>
    <m/>
    <m/>
    <m/>
    <m/>
    <m/>
    <m/>
    <m/>
    <m/>
    <m/>
    <m/>
    <m/>
  </r>
  <r>
    <x v="0"/>
    <n v="18"/>
    <s v="NAY"/>
    <x v="17"/>
    <s v="2017-2018"/>
    <x v="5"/>
    <n v="3065"/>
    <n v="1127"/>
    <n v="1938"/>
    <n v="19363"/>
    <n v="61"/>
    <n v="6"/>
    <n v="11"/>
    <n v="2634"/>
    <n v="67057.060818604514"/>
    <n v="1299"/>
    <n v="3195"/>
    <n v="643"/>
    <n v="1680"/>
    <n v="688"/>
    <n v="1267"/>
    <n v="1099"/>
    <n v="588"/>
    <n v="639"/>
    <n v="586"/>
    <n v="3065"/>
    <n v="51631392.890000001"/>
    <n v="123"/>
    <n v="2799"/>
    <n v="316"/>
    <n v="360"/>
    <n v="361"/>
    <n v="62"/>
    <n v="131"/>
    <n v="629"/>
    <n v="82"/>
    <n v="0"/>
    <n v="0"/>
    <n v="0"/>
    <m/>
    <m/>
    <m/>
    <m/>
    <m/>
    <m/>
    <m/>
    <m/>
    <m/>
    <m/>
    <m/>
    <m/>
    <m/>
    <m/>
    <m/>
    <m/>
    <m/>
  </r>
  <r>
    <x v="0"/>
    <n v="19"/>
    <s v="NL"/>
    <x v="18"/>
    <s v="2017-2018"/>
    <x v="5"/>
    <n v="21351"/>
    <n v="8908"/>
    <n v="12443"/>
    <n v="95814"/>
    <n v="274"/>
    <n v="72"/>
    <n v="71"/>
    <n v="17358"/>
    <n v="265652.98023607361"/>
    <n v="9881"/>
    <n v="20067"/>
    <n v="4051"/>
    <n v="6909"/>
    <n v="4040"/>
    <n v="7296"/>
    <n v="7442"/>
    <n v="3658"/>
    <n v="3684"/>
    <n v="3551"/>
    <n v="21351"/>
    <n v="211600752.72999999"/>
    <n v="1046"/>
    <n v="18284"/>
    <n v="660"/>
    <n v="986"/>
    <n v="1549"/>
    <n v="377"/>
    <n v="355"/>
    <n v="38367"/>
    <n v="1787"/>
    <n v="11"/>
    <n v="14475.978000000001"/>
    <n v="62504"/>
    <n v="511"/>
    <m/>
    <m/>
    <m/>
    <m/>
    <m/>
    <m/>
    <m/>
    <m/>
    <m/>
    <m/>
    <m/>
    <m/>
    <m/>
    <m/>
    <m/>
    <m/>
  </r>
  <r>
    <x v="1"/>
    <n v="20"/>
    <s v="OAX"/>
    <x v="19"/>
    <s v="2017-2018"/>
    <x v="5"/>
    <n v="6380"/>
    <n v="2314"/>
    <n v="4066"/>
    <n v="72598"/>
    <n v="127"/>
    <n v="14"/>
    <n v="16"/>
    <n v="5239"/>
    <n v="236266.70574677282"/>
    <n v="2916"/>
    <n v="6379"/>
    <n v="1323"/>
    <n v="2412"/>
    <n v="1483"/>
    <n v="2691"/>
    <n v="2259"/>
    <n v="1128"/>
    <n v="1203"/>
    <n v="888"/>
    <n v="6380"/>
    <n v="173164800.44999999"/>
    <n v="381"/>
    <n v="5850"/>
    <n v="709"/>
    <n v="810"/>
    <n v="637"/>
    <n v="154"/>
    <n v="196"/>
    <n v="2055"/>
    <n v="36"/>
    <n v="4"/>
    <n v="4095.96"/>
    <n v="372"/>
    <m/>
    <m/>
    <m/>
    <m/>
    <m/>
    <m/>
    <m/>
    <m/>
    <m/>
    <m/>
    <m/>
    <m/>
    <m/>
    <m/>
    <m/>
    <m/>
    <m/>
  </r>
  <r>
    <x v="0"/>
    <n v="21"/>
    <s v="PUE"/>
    <x v="20"/>
    <s v="2017-2018"/>
    <x v="5"/>
    <n v="7439"/>
    <n v="2917"/>
    <n v="4522"/>
    <n v="125596"/>
    <n v="161"/>
    <n v="37"/>
    <n v="42"/>
    <n v="6223"/>
    <n v="364173.02984084236"/>
    <n v="4223"/>
    <n v="7260"/>
    <n v="1855"/>
    <n v="2157"/>
    <n v="1783"/>
    <n v="2816"/>
    <n v="2818"/>
    <n v="1669"/>
    <n v="1681"/>
    <n v="1562"/>
    <n v="7439"/>
    <n v="146685714.02000001"/>
    <n v="393"/>
    <n v="6881"/>
    <n v="404"/>
    <n v="535"/>
    <n v="1005"/>
    <n v="230"/>
    <n v="262"/>
    <n v="4484"/>
    <n v="168"/>
    <n v="10"/>
    <n v="7439"/>
    <n v="4232"/>
    <m/>
    <m/>
    <m/>
    <m/>
    <m/>
    <m/>
    <m/>
    <m/>
    <m/>
    <m/>
    <m/>
    <m/>
    <m/>
    <m/>
    <m/>
    <m/>
    <m/>
  </r>
  <r>
    <x v="0"/>
    <n v="22"/>
    <s v="QRO"/>
    <x v="21"/>
    <s v="2017-2018"/>
    <x v="5"/>
    <n v="3418"/>
    <n v="1463"/>
    <n v="1955"/>
    <n v="34515"/>
    <n v="66"/>
    <n v="16"/>
    <n v="25"/>
    <n v="2873"/>
    <n v="113026.69883774169"/>
    <n v="2071"/>
    <n v="3418"/>
    <n v="884"/>
    <n v="1984"/>
    <n v="767"/>
    <n v="1219"/>
    <n v="1476"/>
    <n v="811"/>
    <n v="754"/>
    <n v="723"/>
    <n v="3418"/>
    <n v="45334871.540000007"/>
    <n v="246"/>
    <n v="3142"/>
    <n v="254"/>
    <n v="279"/>
    <n v="449"/>
    <n v="82"/>
    <n v="107"/>
    <n v="1617"/>
    <n v="71"/>
    <n v="2"/>
    <n v="1394.5439999999999"/>
    <n v="0"/>
    <m/>
    <m/>
    <m/>
    <m/>
    <m/>
    <m/>
    <m/>
    <m/>
    <m/>
    <m/>
    <m/>
    <m/>
    <m/>
    <m/>
    <m/>
    <m/>
    <m/>
  </r>
  <r>
    <x v="0"/>
    <n v="23"/>
    <s v="QROO"/>
    <x v="22"/>
    <s v="2017-2018"/>
    <x v="5"/>
    <n v="8622"/>
    <n v="3406"/>
    <n v="5216"/>
    <n v="26440"/>
    <n v="109"/>
    <n v="15"/>
    <n v="29"/>
    <n v="7095"/>
    <n v="83978.873874572979"/>
    <n v="3817"/>
    <n v="8129"/>
    <n v="1739"/>
    <n v="3071"/>
    <n v="2323"/>
    <n v="3687"/>
    <n v="2777"/>
    <n v="1512"/>
    <n v="1830"/>
    <n v="1697"/>
    <n v="8622"/>
    <n v="97942159.229999989"/>
    <n v="432"/>
    <n v="7546"/>
    <n v="277"/>
    <n v="403"/>
    <n v="771"/>
    <n v="209"/>
    <n v="259"/>
    <n v="210"/>
    <n v="0"/>
    <n v="7"/>
    <n v="8622"/>
    <n v="32"/>
    <m/>
    <m/>
    <m/>
    <m/>
    <m/>
    <m/>
    <m/>
    <m/>
    <m/>
    <m/>
    <m/>
    <m/>
    <m/>
    <m/>
    <m/>
    <m/>
    <m/>
  </r>
  <r>
    <x v="0"/>
    <n v="24"/>
    <s v="SLP"/>
    <x v="23"/>
    <s v="2017-2018"/>
    <x v="5"/>
    <n v="5729"/>
    <n v="2322"/>
    <n v="3407"/>
    <n v="58469"/>
    <n v="90"/>
    <n v="19"/>
    <n v="25"/>
    <n v="4445"/>
    <n v="159670.65915548397"/>
    <n v="3026"/>
    <n v="5400"/>
    <n v="1125"/>
    <n v="2677"/>
    <n v="1197"/>
    <n v="2196"/>
    <n v="2096"/>
    <n v="989"/>
    <n v="980"/>
    <n v="921"/>
    <n v="5729"/>
    <n v="85770398.209999993"/>
    <n v="249"/>
    <n v="4835"/>
    <n v="323"/>
    <n v="428"/>
    <n v="427"/>
    <n v="150"/>
    <n v="145"/>
    <n v="4791"/>
    <n v="190"/>
    <n v="5"/>
    <n v="5729"/>
    <n v="851"/>
    <m/>
    <m/>
    <m/>
    <m/>
    <m/>
    <m/>
    <m/>
    <m/>
    <m/>
    <m/>
    <m/>
    <m/>
    <m/>
    <m/>
    <m/>
    <m/>
    <m/>
  </r>
  <r>
    <x v="0"/>
    <n v="25"/>
    <s v="SIN"/>
    <x v="24"/>
    <s v="2017-2018"/>
    <x v="5"/>
    <n v="8577"/>
    <n v="3909"/>
    <n v="4668"/>
    <n v="54201"/>
    <n v="216"/>
    <n v="67"/>
    <n v="42"/>
    <n v="7468"/>
    <n v="163676.19828688691"/>
    <n v="4442"/>
    <n v="7854"/>
    <n v="1915"/>
    <n v="3351"/>
    <n v="2450"/>
    <n v="3935"/>
    <n v="3009"/>
    <n v="1739"/>
    <n v="2335"/>
    <n v="2244"/>
    <n v="8577"/>
    <n v="217435835.59"/>
    <n v="535"/>
    <n v="7204"/>
    <n v="367"/>
    <n v="382"/>
    <n v="1117"/>
    <n v="310"/>
    <n v="470"/>
    <n v="410"/>
    <n v="241"/>
    <n v="15"/>
    <n v="8448.3449999999993"/>
    <n v="28"/>
    <m/>
    <m/>
    <m/>
    <m/>
    <m/>
    <m/>
    <m/>
    <m/>
    <m/>
    <m/>
    <m/>
    <m/>
    <m/>
    <m/>
    <m/>
    <m/>
    <m/>
  </r>
  <r>
    <x v="0"/>
    <n v="26"/>
    <s v="SON"/>
    <x v="25"/>
    <s v="2017-2018"/>
    <x v="5"/>
    <n v="15277"/>
    <n v="6180"/>
    <n v="9097"/>
    <n v="48293"/>
    <n v="260"/>
    <n v="35"/>
    <n v="49"/>
    <n v="12888"/>
    <n v="159910.74779471883"/>
    <n v="6335"/>
    <n v="15385"/>
    <n v="2886"/>
    <n v="7063"/>
    <n v="2384"/>
    <n v="5124"/>
    <n v="5686"/>
    <n v="2463"/>
    <n v="2385"/>
    <n v="1963"/>
    <n v="15277"/>
    <n v="220480112.47"/>
    <n v="605"/>
    <n v="14152"/>
    <n v="487"/>
    <n v="477"/>
    <n v="857"/>
    <n v="277"/>
    <n v="405"/>
    <n v="7657"/>
    <n v="579"/>
    <n v="11"/>
    <n v="10984.163"/>
    <n v="0"/>
    <m/>
    <m/>
    <m/>
    <m/>
    <m/>
    <m/>
    <m/>
    <m/>
    <m/>
    <m/>
    <m/>
    <m/>
    <m/>
    <m/>
    <m/>
    <m/>
    <m/>
  </r>
  <r>
    <x v="0"/>
    <n v="27"/>
    <s v="TAB"/>
    <x v="26"/>
    <s v="2017-2018"/>
    <x v="5"/>
    <n v="5685"/>
    <n v="2206"/>
    <n v="3479"/>
    <n v="40315"/>
    <n v="89"/>
    <n v="20"/>
    <n v="22"/>
    <n v="4884"/>
    <n v="133447.88163723628"/>
    <n v="2207"/>
    <n v="5584"/>
    <n v="1400"/>
    <n v="1897"/>
    <n v="1456"/>
    <n v="2213"/>
    <n v="2162"/>
    <n v="1303"/>
    <n v="1341"/>
    <n v="1270"/>
    <n v="5685"/>
    <n v="109629582.92000002"/>
    <n v="294"/>
    <n v="5174"/>
    <n v="264"/>
    <n v="355"/>
    <n v="484"/>
    <n v="103"/>
    <n v="187"/>
    <n v="1011"/>
    <n v="4"/>
    <n v="5"/>
    <n v="3735.0450000000001"/>
    <n v="8"/>
    <m/>
    <m/>
    <m/>
    <m/>
    <m/>
    <m/>
    <m/>
    <m/>
    <m/>
    <m/>
    <m/>
    <m/>
    <m/>
    <m/>
    <m/>
    <m/>
    <m/>
  </r>
  <r>
    <x v="0"/>
    <n v="28"/>
    <s v="TAMPS"/>
    <x v="27"/>
    <s v="2017-2018"/>
    <x v="5"/>
    <n v="8707"/>
    <n v="3276"/>
    <n v="5431"/>
    <n v="53952"/>
    <n v="157"/>
    <n v="30"/>
    <n v="37"/>
    <n v="7558"/>
    <n v="187602.00965312397"/>
    <n v="3644"/>
    <n v="8929"/>
    <n v="2127"/>
    <n v="3395"/>
    <n v="2250"/>
    <n v="4147"/>
    <n v="3511"/>
    <n v="1898"/>
    <n v="1856"/>
    <n v="1721"/>
    <n v="8707"/>
    <n v="170226883.19999999"/>
    <n v="392"/>
    <n v="8312"/>
    <n v="314"/>
    <n v="418"/>
    <n v="1077"/>
    <n v="189"/>
    <n v="291"/>
    <n v="10735"/>
    <n v="177"/>
    <n v="8"/>
    <n v="8707"/>
    <n v="95"/>
    <n v="711"/>
    <m/>
    <m/>
    <m/>
    <m/>
    <m/>
    <m/>
    <m/>
    <m/>
    <m/>
    <m/>
    <m/>
    <m/>
    <m/>
    <m/>
    <m/>
    <m/>
  </r>
  <r>
    <x v="0"/>
    <n v="29"/>
    <s v="TLAX"/>
    <x v="28"/>
    <s v="2017-2018"/>
    <x v="5"/>
    <n v="3243"/>
    <n v="1320"/>
    <n v="1923"/>
    <n v="23702"/>
    <n v="48"/>
    <n v="21"/>
    <n v="13"/>
    <n v="2929"/>
    <n v="74174.189282836684"/>
    <n v="1484"/>
    <n v="3036"/>
    <n v="688"/>
    <n v="1245"/>
    <n v="770"/>
    <n v="1332"/>
    <n v="1224"/>
    <n v="562"/>
    <n v="604"/>
    <n v="596"/>
    <n v="3243"/>
    <n v="41570346.460000008"/>
    <n v="176"/>
    <n v="2763"/>
    <n v="398"/>
    <n v="403"/>
    <n v="455"/>
    <n v="75"/>
    <n v="73"/>
    <n v="1455"/>
    <n v="43"/>
    <n v="3"/>
    <n v="3243"/>
    <n v="66"/>
    <m/>
    <m/>
    <m/>
    <m/>
    <m/>
    <m/>
    <m/>
    <m/>
    <m/>
    <m/>
    <m/>
    <m/>
    <m/>
    <m/>
    <m/>
    <m/>
    <m/>
  </r>
  <r>
    <x v="0"/>
    <n v="30"/>
    <s v="VER"/>
    <x v="29"/>
    <s v="2017-2018"/>
    <x v="5"/>
    <n v="9115"/>
    <n v="3208"/>
    <n v="5907"/>
    <n v="135695"/>
    <n v="176"/>
    <n v="40"/>
    <n v="78"/>
    <n v="7767"/>
    <n v="437150.9048392534"/>
    <n v="4837"/>
    <n v="9302"/>
    <n v="2432"/>
    <n v="3113"/>
    <n v="2469"/>
    <n v="3711"/>
    <n v="3471"/>
    <n v="2218"/>
    <n v="2121"/>
    <n v="1869"/>
    <n v="9115"/>
    <n v="223349061.37000003"/>
    <n v="549"/>
    <n v="8940"/>
    <n v="419"/>
    <n v="583"/>
    <n v="1543"/>
    <n v="318"/>
    <n v="397"/>
    <n v="5496"/>
    <n v="115"/>
    <n v="12"/>
    <n v="9042.08"/>
    <n v="580"/>
    <n v="631"/>
    <m/>
    <m/>
    <m/>
    <m/>
    <m/>
    <m/>
    <m/>
    <m/>
    <m/>
    <m/>
    <m/>
    <m/>
    <m/>
    <m/>
    <m/>
    <m/>
  </r>
  <r>
    <x v="0"/>
    <n v="31"/>
    <s v="YUC"/>
    <x v="30"/>
    <s v="2017-2018"/>
    <x v="5"/>
    <n v="5258"/>
    <n v="2052"/>
    <n v="3206"/>
    <n v="36412"/>
    <n v="69"/>
    <n v="10"/>
    <n v="17"/>
    <n v="3892"/>
    <n v="110577.73312521525"/>
    <n v="2516"/>
    <n v="5114"/>
    <n v="1149"/>
    <n v="2490"/>
    <n v="986"/>
    <n v="1708"/>
    <n v="1794"/>
    <n v="1031"/>
    <n v="982"/>
    <n v="792"/>
    <n v="5258"/>
    <n v="98997778.909999996"/>
    <n v="272"/>
    <n v="4750"/>
    <n v="262"/>
    <n v="116"/>
    <n v="484"/>
    <n v="158"/>
    <n v="154"/>
    <n v="4545"/>
    <n v="421"/>
    <n v="5"/>
    <n v="5258"/>
    <n v="429"/>
    <m/>
    <m/>
    <m/>
    <m/>
    <m/>
    <m/>
    <m/>
    <m/>
    <m/>
    <m/>
    <m/>
    <m/>
    <m/>
    <m/>
    <m/>
    <m/>
    <m/>
  </r>
  <r>
    <x v="0"/>
    <n v="32"/>
    <s v="ZAC"/>
    <x v="31"/>
    <s v="2017-2018"/>
    <x v="5"/>
    <n v="1552"/>
    <n v="675"/>
    <n v="877"/>
    <n v="28539"/>
    <n v="51"/>
    <n v="12"/>
    <n v="9"/>
    <n v="1230"/>
    <n v="89510.408551906468"/>
    <n v="746"/>
    <n v="1610"/>
    <n v="305"/>
    <n v="853"/>
    <n v="320"/>
    <n v="767"/>
    <n v="695"/>
    <n v="260"/>
    <n v="292"/>
    <n v="288"/>
    <n v="1552"/>
    <n v="36192694.990000002"/>
    <n v="74"/>
    <n v="1344"/>
    <n v="169"/>
    <n v="148"/>
    <n v="197"/>
    <n v="62"/>
    <n v="76"/>
    <n v="2319"/>
    <n v="84"/>
    <n v="2"/>
    <n v="1306.7840000000001"/>
    <n v="0"/>
    <m/>
    <m/>
    <m/>
    <m/>
    <m/>
    <m/>
    <m/>
    <m/>
    <m/>
    <m/>
    <m/>
    <m/>
    <m/>
    <m/>
    <m/>
    <m/>
    <m/>
  </r>
  <r>
    <x v="2"/>
    <n v="33"/>
    <s v="OTRO"/>
    <x v="32"/>
    <s v="2017-2018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187"/>
    <m/>
    <m/>
    <m/>
    <m/>
    <m/>
    <m/>
    <m/>
    <m/>
    <m/>
    <m/>
    <m/>
    <m/>
    <m/>
    <m/>
    <m/>
    <m/>
    <m/>
  </r>
  <r>
    <x v="0"/>
    <n v="1"/>
    <s v="AGS"/>
    <x v="0"/>
    <s v="2018-2019"/>
    <x v="6"/>
    <n v="4691"/>
    <n v="1689"/>
    <n v="3002"/>
    <n v="21805"/>
    <n v="84"/>
    <n v="11"/>
    <n v="21"/>
    <n v="4334"/>
    <n v="75808.311396180841"/>
    <n v="2929"/>
    <n v="4662"/>
    <n v="1234"/>
    <n v="1572"/>
    <n v="1155"/>
    <n v="1749"/>
    <n v="1765"/>
    <n v="1070"/>
    <n v="1194"/>
    <n v="1064"/>
    <n v="4691"/>
    <n v="70616739.590000004"/>
    <n v="280"/>
    <n v="4462"/>
    <n v="287"/>
    <n v="145"/>
    <n v="429"/>
    <n v="125"/>
    <n v="146"/>
    <n v="3514"/>
    <n v="298"/>
    <n v="4"/>
    <n v="3634.1177000000002"/>
    <n v="1532"/>
    <m/>
    <m/>
    <m/>
    <m/>
    <m/>
    <m/>
    <m/>
    <m/>
    <m/>
    <m/>
    <m/>
    <m/>
    <m/>
    <m/>
    <m/>
    <m/>
    <m/>
  </r>
  <r>
    <x v="0"/>
    <n v="2"/>
    <s v="BC"/>
    <x v="1"/>
    <s v="2018-2019"/>
    <x v="6"/>
    <n v="8462"/>
    <n v="3296"/>
    <n v="5166"/>
    <n v="56479"/>
    <n v="125"/>
    <n v="32"/>
    <n v="24"/>
    <n v="6581"/>
    <n v="186658.86964677856"/>
    <n v="3633"/>
    <n v="8249"/>
    <n v="1657"/>
    <n v="3296"/>
    <n v="1543"/>
    <n v="3120"/>
    <n v="3651"/>
    <n v="1412"/>
    <n v="1263"/>
    <n v="1059"/>
    <n v="8462"/>
    <n v="138342186.01499999"/>
    <n v="401"/>
    <n v="7058"/>
    <n v="275"/>
    <n v="203"/>
    <n v="749"/>
    <n v="156"/>
    <n v="203"/>
    <n v="5453"/>
    <n v="42"/>
    <n v="6"/>
    <n v="8462"/>
    <n v="66"/>
    <n v="191"/>
    <m/>
    <m/>
    <m/>
    <m/>
    <m/>
    <m/>
    <m/>
    <m/>
    <m/>
    <m/>
    <m/>
    <m/>
    <m/>
    <m/>
    <m/>
    <m/>
  </r>
  <r>
    <x v="0"/>
    <n v="3"/>
    <s v="BCS"/>
    <x v="2"/>
    <s v="2018-2019"/>
    <x v="6"/>
    <n v="1697"/>
    <n v="679"/>
    <n v="1018"/>
    <n v="11931"/>
    <n v="18"/>
    <n v="5"/>
    <n v="1"/>
    <n v="1302"/>
    <n v="42737.553261914298"/>
    <n v="998"/>
    <n v="1664"/>
    <n v="407"/>
    <n v="496"/>
    <n v="516"/>
    <n v="884"/>
    <n v="660"/>
    <n v="344"/>
    <n v="352"/>
    <n v="343"/>
    <n v="1697"/>
    <n v="34713244.295000002"/>
    <n v="86"/>
    <n v="1670"/>
    <n v="153"/>
    <n v="69"/>
    <n v="217"/>
    <n v="43"/>
    <n v="59"/>
    <n v="892"/>
    <n v="1"/>
    <n v="1"/>
    <n v="992.06619999999998"/>
    <n v="26"/>
    <m/>
    <m/>
    <m/>
    <m/>
    <m/>
    <m/>
    <m/>
    <m/>
    <m/>
    <m/>
    <m/>
    <m/>
    <m/>
    <m/>
    <m/>
    <m/>
    <m/>
  </r>
  <r>
    <x v="0"/>
    <n v="4"/>
    <s v="CAMP"/>
    <x v="3"/>
    <s v="2018-2019"/>
    <x v="6"/>
    <n v="1896"/>
    <n v="798"/>
    <n v="1098"/>
    <n v="14821"/>
    <n v="41"/>
    <n v="9"/>
    <n v="12"/>
    <n v="1410"/>
    <n v="48515.707763085884"/>
    <n v="890"/>
    <n v="1809"/>
    <n v="399"/>
    <n v="640"/>
    <n v="383"/>
    <n v="799"/>
    <n v="753"/>
    <n v="347"/>
    <n v="348"/>
    <n v="331"/>
    <n v="1896"/>
    <n v="41514866.774999999"/>
    <n v="103"/>
    <n v="1617"/>
    <n v="152"/>
    <n v="101"/>
    <n v="331"/>
    <n v="77"/>
    <n v="71"/>
    <n v="4126"/>
    <n v="28"/>
    <n v="3"/>
    <n v="1896"/>
    <n v="412"/>
    <m/>
    <m/>
    <m/>
    <m/>
    <m/>
    <m/>
    <m/>
    <m/>
    <m/>
    <m/>
    <m/>
    <m/>
    <m/>
    <m/>
    <m/>
    <m/>
    <m/>
  </r>
  <r>
    <x v="0"/>
    <n v="7"/>
    <s v="CHIAP"/>
    <x v="4"/>
    <s v="2018-2019"/>
    <x v="6"/>
    <n v="7012"/>
    <n v="2491"/>
    <n v="4521"/>
    <n v="92666"/>
    <n v="161"/>
    <n v="18"/>
    <n v="49"/>
    <n v="5908"/>
    <n v="337660.69736999623"/>
    <n v="3014"/>
    <n v="7408"/>
    <n v="1967"/>
    <n v="2222"/>
    <n v="1876"/>
    <n v="3054"/>
    <n v="2774"/>
    <n v="1786"/>
    <n v="1669"/>
    <n v="1457"/>
    <n v="7012"/>
    <n v="178638342.06"/>
    <n v="404"/>
    <n v="7072"/>
    <n v="382"/>
    <n v="314"/>
    <n v="714"/>
    <n v="197"/>
    <n v="234"/>
    <n v="2459"/>
    <n v="59"/>
    <n v="2"/>
    <n v="1884.1243999999999"/>
    <n v="92"/>
    <m/>
    <m/>
    <m/>
    <m/>
    <m/>
    <m/>
    <m/>
    <m/>
    <m/>
    <m/>
    <m/>
    <m/>
    <m/>
    <m/>
    <m/>
    <m/>
    <m/>
  </r>
  <r>
    <x v="0"/>
    <n v="8"/>
    <s v="CHIH"/>
    <x v="5"/>
    <s v="2018-2019"/>
    <x v="6"/>
    <n v="8573"/>
    <n v="3347"/>
    <n v="5226"/>
    <n v="55045"/>
    <n v="153"/>
    <n v="47"/>
    <n v="29"/>
    <n v="7550"/>
    <n v="203462.17822436258"/>
    <n v="4072"/>
    <n v="9203"/>
    <n v="2135"/>
    <n v="3287"/>
    <n v="2030"/>
    <n v="3670"/>
    <n v="4125"/>
    <n v="1917"/>
    <n v="1759"/>
    <n v="1559"/>
    <n v="8573"/>
    <n v="170095384.97"/>
    <n v="579"/>
    <n v="8087"/>
    <n v="294"/>
    <n v="255"/>
    <n v="983"/>
    <n v="165"/>
    <n v="234"/>
    <n v="7969"/>
    <n v="433"/>
    <n v="6"/>
    <n v="7024.7161999999998"/>
    <n v="752"/>
    <n v="898"/>
    <m/>
    <m/>
    <m/>
    <m/>
    <m/>
    <m/>
    <m/>
    <m/>
    <m/>
    <m/>
    <m/>
    <m/>
    <m/>
    <m/>
    <m/>
    <m/>
  </r>
  <r>
    <x v="1"/>
    <n v="9"/>
    <s v="CDMX"/>
    <x v="6"/>
    <s v="2018-2019"/>
    <x v="6"/>
    <n v="44161"/>
    <n v="18512"/>
    <n v="25649"/>
    <n v="143823"/>
    <n v="582"/>
    <n v="136"/>
    <n v="134"/>
    <n v="35063"/>
    <n v="389384.78122435423"/>
    <n v="24850"/>
    <n v="44212"/>
    <n v="9312"/>
    <n v="21745"/>
    <n v="7941"/>
    <n v="17832"/>
    <n v="19962"/>
    <n v="7909"/>
    <n v="7196"/>
    <n v="4704"/>
    <n v="44161"/>
    <n v="694705445.45000005"/>
    <n v="2173"/>
    <n v="37862"/>
    <n v="1406"/>
    <n v="375"/>
    <n v="3705"/>
    <n v="946"/>
    <n v="1373"/>
    <n v="8387"/>
    <n v="998"/>
    <n v="26"/>
    <n v="42884.747100000001"/>
    <n v="1708"/>
    <m/>
    <m/>
    <m/>
    <m/>
    <m/>
    <m/>
    <m/>
    <m/>
    <m/>
    <m/>
    <m/>
    <m/>
    <m/>
    <m/>
    <m/>
    <m/>
    <m/>
  </r>
  <r>
    <x v="0"/>
    <n v="5"/>
    <s v="COAH"/>
    <x v="7"/>
    <s v="2018-2019"/>
    <x v="6"/>
    <n v="10398"/>
    <n v="3963"/>
    <n v="6435"/>
    <n v="59454"/>
    <n v="134"/>
    <n v="45"/>
    <n v="37"/>
    <n v="9011"/>
    <n v="163335.43795797112"/>
    <n v="5009"/>
    <n v="10066"/>
    <n v="2703"/>
    <n v="2344"/>
    <n v="1860"/>
    <n v="3155"/>
    <n v="4120"/>
    <n v="2500"/>
    <n v="2042"/>
    <n v="2036"/>
    <n v="10398"/>
    <n v="150515608.10499999"/>
    <n v="419"/>
    <n v="8669"/>
    <n v="357"/>
    <n v="78"/>
    <n v="1141"/>
    <n v="168"/>
    <n v="234"/>
    <n v="3892"/>
    <n v="34"/>
    <n v="9"/>
    <n v="10398"/>
    <n v="335"/>
    <m/>
    <m/>
    <m/>
    <m/>
    <m/>
    <m/>
    <m/>
    <m/>
    <m/>
    <m/>
    <m/>
    <m/>
    <m/>
    <m/>
    <m/>
    <m/>
    <m/>
  </r>
  <r>
    <x v="0"/>
    <n v="6"/>
    <s v="COL"/>
    <x v="8"/>
    <s v="2018-2019"/>
    <x v="6"/>
    <n v="1891"/>
    <n v="763"/>
    <n v="1128"/>
    <n v="10048"/>
    <n v="47"/>
    <n v="6"/>
    <n v="11"/>
    <n v="1231"/>
    <n v="38472.361797444217"/>
    <n v="872"/>
    <n v="1866"/>
    <n v="425"/>
    <n v="894"/>
    <n v="343"/>
    <n v="813"/>
    <n v="883"/>
    <n v="343"/>
    <n v="305"/>
    <n v="273"/>
    <n v="1891"/>
    <n v="41980594.155000001"/>
    <n v="124"/>
    <n v="1681"/>
    <n v="237"/>
    <n v="1418"/>
    <n v="320"/>
    <n v="100"/>
    <n v="81"/>
    <n v="1128"/>
    <n v="34"/>
    <n v="3"/>
    <n v="1891"/>
    <n v="215"/>
    <m/>
    <m/>
    <m/>
    <m/>
    <m/>
    <m/>
    <m/>
    <m/>
    <m/>
    <m/>
    <m/>
    <m/>
    <m/>
    <m/>
    <m/>
    <m/>
    <m/>
  </r>
  <r>
    <x v="0"/>
    <n v="10"/>
    <s v="DGO"/>
    <x v="9"/>
    <s v="2018-2019"/>
    <x v="6"/>
    <n v="1930"/>
    <n v="744"/>
    <n v="1186"/>
    <n v="32285"/>
    <n v="51"/>
    <n v="19"/>
    <n v="10"/>
    <n v="1565"/>
    <n v="101820.24451699779"/>
    <n v="835"/>
    <n v="2067"/>
    <n v="408"/>
    <n v="987"/>
    <n v="457"/>
    <n v="1022"/>
    <n v="936"/>
    <n v="360"/>
    <n v="398"/>
    <n v="283"/>
    <n v="1930"/>
    <n v="41121216.439999998"/>
    <n v="156"/>
    <n v="1787"/>
    <n v="164"/>
    <n v="92"/>
    <n v="260"/>
    <n v="76"/>
    <n v="78"/>
    <n v="3123"/>
    <n v="57"/>
    <n v="2"/>
    <n v="1782.934"/>
    <n v="223"/>
    <m/>
    <m/>
    <m/>
    <m/>
    <m/>
    <m/>
    <m/>
    <m/>
    <m/>
    <m/>
    <m/>
    <m/>
    <m/>
    <m/>
    <m/>
    <m/>
    <m/>
  </r>
  <r>
    <x v="0"/>
    <n v="11"/>
    <s v="GTO"/>
    <x v="10"/>
    <s v="2018-2019"/>
    <x v="6"/>
    <n v="18132"/>
    <n v="6642"/>
    <n v="11490"/>
    <n v="120395"/>
    <n v="293"/>
    <n v="94"/>
    <n v="82"/>
    <n v="15005"/>
    <n v="336593.79068756441"/>
    <n v="8813"/>
    <n v="18067"/>
    <n v="4452"/>
    <n v="6554"/>
    <n v="4979"/>
    <n v="8079"/>
    <n v="6444"/>
    <n v="4130"/>
    <n v="4047"/>
    <n v="3859"/>
    <n v="18132"/>
    <n v="262369796.815"/>
    <n v="863"/>
    <n v="16023"/>
    <n v="753"/>
    <n v="642"/>
    <n v="2187"/>
    <n v="494"/>
    <n v="445"/>
    <n v="8126"/>
    <n v="516"/>
    <n v="16"/>
    <n v="18132"/>
    <n v="6410"/>
    <n v="16429"/>
    <m/>
    <m/>
    <m/>
    <m/>
    <m/>
    <m/>
    <m/>
    <m/>
    <m/>
    <m/>
    <m/>
    <m/>
    <m/>
    <m/>
    <m/>
    <m/>
  </r>
  <r>
    <x v="0"/>
    <n v="12"/>
    <s v="GRO"/>
    <x v="11"/>
    <s v="2018-2019"/>
    <x v="6"/>
    <n v="6134"/>
    <n v="2388"/>
    <n v="3746"/>
    <n v="65658"/>
    <n v="129"/>
    <n v="22"/>
    <n v="43"/>
    <n v="4957"/>
    <n v="219410.76827348556"/>
    <n v="3143"/>
    <n v="6152"/>
    <n v="1536"/>
    <n v="2667"/>
    <n v="1509"/>
    <n v="2731"/>
    <n v="2626"/>
    <n v="1375"/>
    <n v="1362"/>
    <n v="875"/>
    <n v="6134"/>
    <n v="144889688"/>
    <n v="297"/>
    <n v="5745"/>
    <n v="239"/>
    <n v="209"/>
    <n v="719"/>
    <n v="179"/>
    <n v="232"/>
    <n v="7440"/>
    <n v="1041"/>
    <n v="4"/>
    <n v="2746.1918000000001"/>
    <n v="852"/>
    <m/>
    <m/>
    <m/>
    <m/>
    <m/>
    <m/>
    <m/>
    <m/>
    <m/>
    <m/>
    <m/>
    <m/>
    <m/>
    <m/>
    <m/>
    <m/>
    <m/>
  </r>
  <r>
    <x v="0"/>
    <n v="13"/>
    <s v="HGO"/>
    <x v="12"/>
    <s v="2018-2019"/>
    <x v="6"/>
    <n v="3519"/>
    <n v="1421"/>
    <n v="2098"/>
    <n v="53733"/>
    <n v="69"/>
    <n v="38"/>
    <n v="17"/>
    <n v="3102"/>
    <n v="161832.19050681879"/>
    <n v="1648"/>
    <n v="3648"/>
    <n v="934"/>
    <n v="1167"/>
    <n v="824"/>
    <n v="1716"/>
    <n v="1678"/>
    <n v="835"/>
    <n v="693"/>
    <n v="687"/>
    <n v="3519"/>
    <n v="64281548.229999997"/>
    <n v="205"/>
    <n v="3220"/>
    <n v="251"/>
    <n v="147"/>
    <n v="428"/>
    <n v="112"/>
    <n v="168"/>
    <n v="1323"/>
    <n v="501"/>
    <n v="6"/>
    <n v="3519"/>
    <n v="105"/>
    <m/>
    <m/>
    <m/>
    <m/>
    <m/>
    <m/>
    <m/>
    <m/>
    <m/>
    <m/>
    <m/>
    <m/>
    <m/>
    <m/>
    <m/>
    <m/>
    <m/>
  </r>
  <r>
    <x v="0"/>
    <n v="14"/>
    <s v="JAL"/>
    <x v="13"/>
    <s v="2018-2019"/>
    <x v="6"/>
    <n v="14341"/>
    <n v="5515"/>
    <n v="8826"/>
    <n v="134896"/>
    <n v="272"/>
    <n v="36"/>
    <n v="67"/>
    <n v="11644"/>
    <n v="433925.91746385908"/>
    <n v="5788"/>
    <n v="14856"/>
    <n v="3444"/>
    <n v="5199"/>
    <n v="3151"/>
    <n v="5644"/>
    <n v="5953"/>
    <n v="3056"/>
    <n v="2823"/>
    <n v="2409"/>
    <n v="14341"/>
    <n v="265319155.36000001"/>
    <n v="818"/>
    <n v="13241"/>
    <n v="705"/>
    <n v="695"/>
    <n v="2084"/>
    <n v="411"/>
    <n v="503"/>
    <n v="12472"/>
    <n v="793"/>
    <n v="16"/>
    <n v="12843.7996"/>
    <n v="158"/>
    <n v="602"/>
    <m/>
    <m/>
    <m/>
    <m/>
    <m/>
    <m/>
    <m/>
    <m/>
    <m/>
    <m/>
    <m/>
    <m/>
    <m/>
    <m/>
    <m/>
    <m/>
  </r>
  <r>
    <x v="0"/>
    <n v="15"/>
    <s v="MEX"/>
    <x v="14"/>
    <s v="2018-2019"/>
    <x v="6"/>
    <n v="47926"/>
    <n v="18922"/>
    <n v="29004"/>
    <n v="276938"/>
    <n v="799"/>
    <n v="182"/>
    <n v="205"/>
    <n v="41514"/>
    <n v="915661.71066119196"/>
    <n v="23969"/>
    <n v="48591"/>
    <n v="11056"/>
    <n v="18083"/>
    <n v="9607"/>
    <n v="19346"/>
    <n v="20621"/>
    <n v="9450"/>
    <n v="8478"/>
    <n v="6665"/>
    <n v="47926"/>
    <n v="760825417.91999996"/>
    <n v="2280"/>
    <n v="43524"/>
    <n v="1395"/>
    <n v="1241"/>
    <n v="4445"/>
    <n v="1213"/>
    <n v="1300"/>
    <n v="11415"/>
    <n v="1216"/>
    <n v="39"/>
    <n v="47926"/>
    <n v="67149"/>
    <n v="816"/>
    <m/>
    <m/>
    <m/>
    <m/>
    <m/>
    <m/>
    <m/>
    <m/>
    <m/>
    <m/>
    <m/>
    <m/>
    <m/>
    <m/>
    <m/>
    <m/>
  </r>
  <r>
    <x v="0"/>
    <n v="16"/>
    <s v="MICH"/>
    <x v="15"/>
    <s v="2018-2019"/>
    <x v="6"/>
    <n v="11087"/>
    <n v="4376"/>
    <n v="6711"/>
    <n v="64370"/>
    <n v="221"/>
    <n v="28"/>
    <n v="52"/>
    <n v="9457"/>
    <n v="255970.68001497566"/>
    <n v="5108"/>
    <n v="11181"/>
    <n v="2701"/>
    <n v="3809"/>
    <n v="2732"/>
    <n v="4749"/>
    <n v="4395"/>
    <n v="2319"/>
    <n v="2425"/>
    <n v="2101"/>
    <n v="11087"/>
    <n v="207638682.71000001"/>
    <n v="440"/>
    <n v="10085"/>
    <n v="357"/>
    <n v="262"/>
    <n v="1204"/>
    <n v="270"/>
    <n v="355"/>
    <n v="2699"/>
    <n v="428"/>
    <n v="9"/>
    <n v="7669.9866000000002"/>
    <n v="7206"/>
    <m/>
    <m/>
    <m/>
    <m/>
    <m/>
    <m/>
    <m/>
    <m/>
    <m/>
    <m/>
    <m/>
    <m/>
    <m/>
    <m/>
    <m/>
    <m/>
    <m/>
  </r>
  <r>
    <x v="0"/>
    <n v="17"/>
    <s v="MOR"/>
    <x v="16"/>
    <s v="2018-2019"/>
    <x v="6"/>
    <n v="4640"/>
    <n v="1846"/>
    <n v="2794"/>
    <n v="31140"/>
    <n v="74"/>
    <n v="15"/>
    <n v="13"/>
    <n v="3870"/>
    <n v="101124.76256756038"/>
    <n v="2179"/>
    <n v="4697"/>
    <n v="1134"/>
    <n v="1905"/>
    <n v="1127"/>
    <n v="1832"/>
    <n v="1929"/>
    <n v="1036"/>
    <n v="1076"/>
    <n v="978"/>
    <n v="4640"/>
    <n v="70347282.655000001"/>
    <n v="238"/>
    <n v="4169"/>
    <n v="6"/>
    <n v="0"/>
    <n v="532"/>
    <n v="117"/>
    <n v="136"/>
    <n v="2994"/>
    <n v="612"/>
    <n v="5"/>
    <n v="4640"/>
    <n v="1873"/>
    <m/>
    <m/>
    <m/>
    <m/>
    <m/>
    <m/>
    <m/>
    <m/>
    <m/>
    <m/>
    <m/>
    <m/>
    <m/>
    <m/>
    <m/>
    <m/>
    <m/>
  </r>
  <r>
    <x v="0"/>
    <n v="18"/>
    <s v="NAY"/>
    <x v="17"/>
    <s v="2018-2019"/>
    <x v="6"/>
    <n v="2794"/>
    <n v="1114"/>
    <n v="1680"/>
    <n v="18794"/>
    <n v="59"/>
    <n v="10"/>
    <n v="14"/>
    <n v="2431"/>
    <n v="67820.162576919043"/>
    <n v="1332"/>
    <n v="3065"/>
    <n v="698"/>
    <n v="1279"/>
    <n v="699"/>
    <n v="1236"/>
    <n v="1264"/>
    <n v="630"/>
    <n v="588"/>
    <n v="421"/>
    <n v="2794"/>
    <n v="52976716.07"/>
    <n v="124"/>
    <n v="2799"/>
    <n v="316"/>
    <n v="201"/>
    <n v="361"/>
    <n v="62"/>
    <n v="131"/>
    <n v="2109"/>
    <n v="111"/>
    <n v="2"/>
    <n v="1766.9256"/>
    <n v="2"/>
    <m/>
    <m/>
    <m/>
    <m/>
    <m/>
    <m/>
    <m/>
    <m/>
    <m/>
    <m/>
    <m/>
    <m/>
    <m/>
    <m/>
    <m/>
    <m/>
    <m/>
  </r>
  <r>
    <x v="0"/>
    <n v="19"/>
    <s v="NL"/>
    <x v="18"/>
    <s v="2018-2019"/>
    <x v="6"/>
    <n v="21326"/>
    <n v="7840"/>
    <n v="13486"/>
    <n v="94982"/>
    <n v="295"/>
    <n v="66"/>
    <n v="78"/>
    <n v="17243"/>
    <n v="266980.64734868531"/>
    <n v="9033"/>
    <n v="21351"/>
    <n v="4726"/>
    <n v="6933"/>
    <n v="4003"/>
    <n v="7514"/>
    <n v="8223"/>
    <n v="4378"/>
    <n v="3658"/>
    <n v="3518"/>
    <n v="21326"/>
    <n v="243463751.80000001"/>
    <n v="1084"/>
    <n v="18284"/>
    <n v="660"/>
    <n v="627"/>
    <n v="1549"/>
    <n v="377"/>
    <n v="355"/>
    <n v="27119"/>
    <n v="2664"/>
    <n v="11"/>
    <n v="14279.8896"/>
    <n v="58432"/>
    <n v="426"/>
    <m/>
    <m/>
    <m/>
    <m/>
    <m/>
    <m/>
    <m/>
    <m/>
    <m/>
    <m/>
    <m/>
    <m/>
    <m/>
    <m/>
    <m/>
    <m/>
  </r>
  <r>
    <x v="1"/>
    <n v="20"/>
    <s v="OAX"/>
    <x v="19"/>
    <s v="2018-2019"/>
    <x v="6"/>
    <n v="6115"/>
    <n v="2220"/>
    <n v="3895"/>
    <n v="65886"/>
    <n v="119"/>
    <n v="25"/>
    <n v="29"/>
    <n v="5054"/>
    <n v="234207.61868783121"/>
    <n v="2753"/>
    <n v="6380"/>
    <n v="1573"/>
    <n v="2496"/>
    <n v="1390"/>
    <n v="2396"/>
    <n v="2568"/>
    <n v="1373"/>
    <n v="1128"/>
    <n v="789"/>
    <n v="6115"/>
    <n v="198204901.90000001"/>
    <n v="400"/>
    <n v="5850"/>
    <n v="709"/>
    <n v="518"/>
    <n v="637"/>
    <n v="154"/>
    <n v="196"/>
    <n v="3586"/>
    <n v="20"/>
    <n v="4"/>
    <n v="3942.9520000000002"/>
    <n v="549"/>
    <m/>
    <m/>
    <m/>
    <m/>
    <m/>
    <m/>
    <m/>
    <m/>
    <m/>
    <m/>
    <m/>
    <m/>
    <m/>
    <m/>
    <m/>
    <m/>
    <m/>
  </r>
  <r>
    <x v="0"/>
    <n v="21"/>
    <s v="PUE"/>
    <x v="20"/>
    <s v="2018-2019"/>
    <x v="6"/>
    <n v="7310"/>
    <n v="2756"/>
    <n v="4554"/>
    <n v="120674"/>
    <n v="151"/>
    <n v="36"/>
    <n v="40"/>
    <n v="6135"/>
    <n v="362648.64012946235"/>
    <n v="3917"/>
    <n v="7439"/>
    <n v="1955"/>
    <n v="2175"/>
    <n v="1840"/>
    <n v="2813"/>
    <n v="2822"/>
    <n v="1769"/>
    <n v="1669"/>
    <n v="1497"/>
    <n v="7310"/>
    <n v="151077190.185"/>
    <n v="397"/>
    <n v="6881"/>
    <n v="404"/>
    <n v="311"/>
    <n v="1005"/>
    <n v="230"/>
    <n v="262"/>
    <n v="3898"/>
    <n v="151"/>
    <n v="10"/>
    <n v="7310"/>
    <n v="3346"/>
    <m/>
    <m/>
    <m/>
    <m/>
    <m/>
    <m/>
    <m/>
    <m/>
    <m/>
    <m/>
    <m/>
    <m/>
    <m/>
    <m/>
    <m/>
    <m/>
    <m/>
  </r>
  <r>
    <x v="0"/>
    <n v="22"/>
    <s v="QRO"/>
    <x v="21"/>
    <s v="2018-2019"/>
    <x v="6"/>
    <n v="3473"/>
    <n v="1380"/>
    <n v="2093"/>
    <n v="34202"/>
    <n v="67"/>
    <n v="24"/>
    <n v="28"/>
    <n v="2993"/>
    <n v="112953.81869980853"/>
    <n v="1968"/>
    <n v="3418"/>
    <n v="829"/>
    <n v="2028"/>
    <n v="832"/>
    <n v="1347"/>
    <n v="1374"/>
    <n v="745"/>
    <n v="811"/>
    <n v="778"/>
    <n v="3473"/>
    <n v="53835720.295000002"/>
    <n v="241"/>
    <n v="3142"/>
    <n v="254"/>
    <n v="140"/>
    <n v="449"/>
    <n v="82"/>
    <n v="107"/>
    <n v="1223"/>
    <n v="80"/>
    <n v="3"/>
    <n v="2814.1718999999998"/>
    <n v="2"/>
    <m/>
    <m/>
    <m/>
    <m/>
    <m/>
    <m/>
    <m/>
    <m/>
    <m/>
    <m/>
    <m/>
    <m/>
    <m/>
    <m/>
    <m/>
    <m/>
    <m/>
  </r>
  <r>
    <x v="0"/>
    <n v="23"/>
    <s v="QROO"/>
    <x v="22"/>
    <s v="2018-2019"/>
    <x v="6"/>
    <n v="8590"/>
    <n v="3139"/>
    <n v="5451"/>
    <n v="26046"/>
    <n v="109"/>
    <n v="15"/>
    <n v="29"/>
    <n v="6895"/>
    <n v="85062.009804503905"/>
    <n v="3612"/>
    <n v="8622"/>
    <n v="1955"/>
    <n v="2495"/>
    <n v="2012"/>
    <n v="3422"/>
    <n v="3286"/>
    <n v="1786"/>
    <n v="1512"/>
    <n v="1353"/>
    <n v="8590"/>
    <n v="100698271.145"/>
    <n v="425"/>
    <n v="7546"/>
    <n v="277"/>
    <n v="258"/>
    <n v="771"/>
    <n v="209"/>
    <n v="259"/>
    <n v="2332"/>
    <n v="11"/>
    <n v="7"/>
    <n v="8590"/>
    <n v="148"/>
    <m/>
    <m/>
    <m/>
    <m/>
    <m/>
    <m/>
    <m/>
    <m/>
    <m/>
    <m/>
    <m/>
    <m/>
    <m/>
    <m/>
    <m/>
    <m/>
    <m/>
  </r>
  <r>
    <x v="0"/>
    <n v="24"/>
    <s v="SLP"/>
    <x v="23"/>
    <s v="2018-2019"/>
    <x v="6"/>
    <n v="5259"/>
    <n v="1930"/>
    <n v="3329"/>
    <n v="57201"/>
    <n v="99"/>
    <n v="24"/>
    <n v="24"/>
    <n v="4224"/>
    <n v="158793.48904400849"/>
    <n v="2424"/>
    <n v="5729"/>
    <n v="1320"/>
    <n v="2373"/>
    <n v="1104"/>
    <n v="2113"/>
    <n v="2258"/>
    <n v="1163"/>
    <n v="989"/>
    <n v="912"/>
    <n v="5259"/>
    <n v="88231432.405000001"/>
    <n v="246"/>
    <n v="4835"/>
    <n v="323"/>
    <n v="242"/>
    <n v="427"/>
    <n v="150"/>
    <n v="145"/>
    <n v="3301"/>
    <n v="87"/>
    <n v="5"/>
    <n v="5259"/>
    <n v="556"/>
    <m/>
    <m/>
    <m/>
    <m/>
    <m/>
    <m/>
    <m/>
    <m/>
    <m/>
    <m/>
    <m/>
    <m/>
    <m/>
    <m/>
    <m/>
    <m/>
    <m/>
  </r>
  <r>
    <x v="0"/>
    <n v="25"/>
    <s v="SIN"/>
    <x v="24"/>
    <s v="2018-2019"/>
    <x v="6"/>
    <n v="8604"/>
    <n v="3373"/>
    <n v="5231"/>
    <n v="52946"/>
    <n v="234"/>
    <n v="72"/>
    <n v="42"/>
    <n v="7544"/>
    <n v="162640.48544064179"/>
    <n v="3775"/>
    <n v="8577"/>
    <n v="2101"/>
    <n v="3568"/>
    <n v="2490"/>
    <n v="3734"/>
    <n v="3326"/>
    <n v="1964"/>
    <n v="1739"/>
    <n v="1696"/>
    <n v="8604"/>
    <n v="247272786.785"/>
    <n v="529"/>
    <n v="7204"/>
    <n v="367"/>
    <n v="235"/>
    <n v="1117"/>
    <n v="310"/>
    <n v="470"/>
    <n v="487"/>
    <n v="124"/>
    <n v="15"/>
    <n v="8431.92"/>
    <n v="14"/>
    <m/>
    <m/>
    <m/>
    <m/>
    <m/>
    <m/>
    <m/>
    <m/>
    <m/>
    <m/>
    <m/>
    <m/>
    <m/>
    <m/>
    <m/>
    <m/>
    <m/>
  </r>
  <r>
    <x v="0"/>
    <n v="26"/>
    <s v="SON"/>
    <x v="25"/>
    <s v="2018-2019"/>
    <x v="6"/>
    <n v="14826"/>
    <n v="5940"/>
    <n v="8886"/>
    <n v="47160"/>
    <n v="269"/>
    <n v="47"/>
    <n v="51"/>
    <n v="12472"/>
    <n v="160641.37028213684"/>
    <n v="6161"/>
    <n v="15277"/>
    <n v="2926"/>
    <n v="4416"/>
    <n v="2631"/>
    <n v="5501"/>
    <n v="6199"/>
    <n v="2606"/>
    <n v="2463"/>
    <n v="1715"/>
    <n v="14826"/>
    <n v="226945796.19499999"/>
    <n v="662"/>
    <n v="14152"/>
    <n v="487"/>
    <n v="261"/>
    <n v="857"/>
    <n v="277"/>
    <n v="405"/>
    <n v="5794"/>
    <n v="494"/>
    <n v="11"/>
    <n v="10691.028600000001"/>
    <n v="0"/>
    <m/>
    <m/>
    <m/>
    <m/>
    <m/>
    <m/>
    <m/>
    <m/>
    <m/>
    <m/>
    <m/>
    <m/>
    <m/>
    <m/>
    <m/>
    <m/>
    <m/>
  </r>
  <r>
    <x v="0"/>
    <n v="27"/>
    <s v="TAB"/>
    <x v="26"/>
    <s v="2018-2019"/>
    <x v="6"/>
    <n v="5608"/>
    <n v="2062"/>
    <n v="3546"/>
    <n v="41273"/>
    <n v="88"/>
    <n v="21"/>
    <n v="22"/>
    <n v="4932"/>
    <n v="133002.08940500516"/>
    <n v="2062"/>
    <n v="5685"/>
    <n v="1527"/>
    <n v="2021"/>
    <n v="1434"/>
    <n v="2164"/>
    <n v="2280"/>
    <n v="1398"/>
    <n v="1303"/>
    <n v="1195"/>
    <n v="5608"/>
    <n v="112835125.86"/>
    <n v="294"/>
    <n v="5174"/>
    <n v="264"/>
    <n v="171"/>
    <n v="484"/>
    <n v="103"/>
    <n v="187"/>
    <n v="430"/>
    <n v="27"/>
    <n v="5"/>
    <n v="3682.7736"/>
    <n v="71"/>
    <m/>
    <m/>
    <m/>
    <m/>
    <m/>
    <m/>
    <m/>
    <m/>
    <m/>
    <m/>
    <m/>
    <m/>
    <m/>
    <m/>
    <m/>
    <m/>
    <m/>
  </r>
  <r>
    <x v="0"/>
    <n v="28"/>
    <s v="TAMPS"/>
    <x v="27"/>
    <s v="2018-2019"/>
    <x v="6"/>
    <n v="8533"/>
    <n v="3183"/>
    <n v="5350"/>
    <n v="51248"/>
    <n v="157"/>
    <n v="30"/>
    <n v="37"/>
    <n v="7449"/>
    <n v="187732.87996738573"/>
    <n v="3548"/>
    <n v="8707"/>
    <n v="2052"/>
    <n v="3206"/>
    <n v="2028"/>
    <n v="3644"/>
    <n v="3517"/>
    <n v="1856"/>
    <n v="1898"/>
    <n v="1630"/>
    <n v="8533"/>
    <n v="175108866.91499999"/>
    <n v="388"/>
    <n v="8312"/>
    <n v="314"/>
    <n v="247"/>
    <n v="1077"/>
    <n v="189"/>
    <n v="291"/>
    <n v="10400"/>
    <n v="171"/>
    <n v="8"/>
    <n v="8533"/>
    <n v="131"/>
    <n v="104"/>
    <m/>
    <m/>
    <m/>
    <m/>
    <m/>
    <m/>
    <m/>
    <m/>
    <m/>
    <m/>
    <m/>
    <m/>
    <m/>
    <m/>
    <m/>
    <m/>
  </r>
  <r>
    <x v="0"/>
    <n v="29"/>
    <s v="TLAX"/>
    <x v="28"/>
    <s v="2018-2019"/>
    <x v="6"/>
    <n v="3232"/>
    <n v="1170"/>
    <n v="2062"/>
    <n v="23003"/>
    <n v="49"/>
    <n v="18"/>
    <n v="15"/>
    <n v="2871"/>
    <n v="74315.320716950271"/>
    <n v="1389"/>
    <n v="3243"/>
    <n v="709"/>
    <n v="1198"/>
    <n v="713"/>
    <n v="1269"/>
    <n v="1143"/>
    <n v="594"/>
    <n v="562"/>
    <n v="546"/>
    <n v="3232"/>
    <n v="42775667.829999998"/>
    <n v="182"/>
    <n v="2763"/>
    <n v="398"/>
    <n v="215"/>
    <n v="455"/>
    <n v="75"/>
    <n v="73"/>
    <n v="2082"/>
    <n v="119"/>
    <n v="3"/>
    <n v="3232"/>
    <n v="23"/>
    <m/>
    <m/>
    <m/>
    <m/>
    <m/>
    <m/>
    <m/>
    <m/>
    <m/>
    <m/>
    <m/>
    <m/>
    <m/>
    <m/>
    <m/>
    <m/>
    <m/>
  </r>
  <r>
    <x v="0"/>
    <n v="30"/>
    <s v="VER"/>
    <x v="29"/>
    <s v="2018-2019"/>
    <x v="6"/>
    <n v="8858"/>
    <n v="3279"/>
    <n v="5579"/>
    <n v="131256"/>
    <n v="174"/>
    <n v="42"/>
    <n v="77"/>
    <n v="7747"/>
    <n v="432896.89882477239"/>
    <n v="4334"/>
    <n v="9115"/>
    <n v="2633"/>
    <n v="3100"/>
    <n v="2326"/>
    <n v="3472"/>
    <n v="3736"/>
    <n v="2472"/>
    <n v="2218"/>
    <n v="1979"/>
    <n v="8858"/>
    <n v="234497481.155"/>
    <n v="531"/>
    <n v="8940"/>
    <n v="419"/>
    <n v="357"/>
    <n v="1543"/>
    <n v="318"/>
    <n v="397"/>
    <n v="7078"/>
    <n v="132"/>
    <n v="12"/>
    <n v="8779.1638000000003"/>
    <n v="768"/>
    <n v="720"/>
    <m/>
    <m/>
    <m/>
    <m/>
    <m/>
    <m/>
    <m/>
    <m/>
    <m/>
    <m/>
    <m/>
    <m/>
    <m/>
    <m/>
    <m/>
    <m/>
  </r>
  <r>
    <x v="0"/>
    <n v="31"/>
    <s v="YUC"/>
    <x v="30"/>
    <s v="2018-2019"/>
    <x v="6"/>
    <n v="5303"/>
    <n v="1915"/>
    <n v="3388"/>
    <n v="35849"/>
    <n v="69"/>
    <n v="9"/>
    <n v="20"/>
    <n v="3944"/>
    <n v="110271.51218978132"/>
    <n v="2492"/>
    <n v="5258"/>
    <n v="1162"/>
    <n v="2571"/>
    <n v="1101"/>
    <n v="1841"/>
    <n v="1913"/>
    <n v="1030"/>
    <n v="1031"/>
    <n v="820"/>
    <n v="5303"/>
    <n v="109480043.905"/>
    <n v="277"/>
    <n v="4750"/>
    <n v="262"/>
    <n v="106"/>
    <n v="484"/>
    <n v="158"/>
    <n v="154"/>
    <n v="3327"/>
    <n v="525"/>
    <n v="5"/>
    <n v="5303"/>
    <n v="433"/>
    <m/>
    <m/>
    <m/>
    <m/>
    <m/>
    <m/>
    <m/>
    <m/>
    <m/>
    <m/>
    <m/>
    <m/>
    <m/>
    <m/>
    <m/>
    <m/>
    <m/>
  </r>
  <r>
    <x v="0"/>
    <n v="32"/>
    <s v="ZAC"/>
    <x v="31"/>
    <s v="2018-2019"/>
    <x v="6"/>
    <n v="1538"/>
    <n v="619"/>
    <n v="919"/>
    <n v="26709"/>
    <n v="60"/>
    <n v="18"/>
    <n v="7"/>
    <n v="1226"/>
    <n v="89190.403622109137"/>
    <n v="671"/>
    <n v="1552"/>
    <n v="311"/>
    <n v="1015"/>
    <n v="328"/>
    <n v="801"/>
    <n v="779"/>
    <n v="262"/>
    <n v="260"/>
    <n v="259"/>
    <n v="1538"/>
    <n v="41952964.865000002"/>
    <n v="85"/>
    <n v="1344"/>
    <n v="169"/>
    <n v="75"/>
    <n v="197"/>
    <n v="62"/>
    <n v="76"/>
    <n v="2252"/>
    <n v="218"/>
    <n v="2"/>
    <n v="1288.075"/>
    <n v="78"/>
    <m/>
    <m/>
    <m/>
    <m/>
    <m/>
    <m/>
    <m/>
    <m/>
    <m/>
    <m/>
    <m/>
    <m/>
    <m/>
    <m/>
    <m/>
    <m/>
    <m/>
  </r>
  <r>
    <x v="2"/>
    <n v="33"/>
    <s v="OTRO"/>
    <x v="32"/>
    <s v="2018-2019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64"/>
    <m/>
    <m/>
    <m/>
    <m/>
    <m/>
    <m/>
    <m/>
    <m/>
    <m/>
    <m/>
    <m/>
    <m/>
    <m/>
    <m/>
    <m/>
    <m/>
    <m/>
  </r>
  <r>
    <x v="1"/>
    <n v="0"/>
    <s v="ON"/>
    <x v="33"/>
    <s v="2012-201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402"/>
    <n v="1450045"/>
    <n v="1450045"/>
    <n v="1457806"/>
    <n v="1336007"/>
    <n v="1336007"/>
    <n v="1334976.8"/>
    <n v="1339687.2"/>
    <n v="115068.5"/>
    <n v="118119"/>
    <n v="114038"/>
    <n v="1450045.3"/>
    <n v="113831"/>
    <n v="121799"/>
    <n v="1450045"/>
    <n v="1457806"/>
  </r>
  <r>
    <x v="1"/>
    <n v="0"/>
    <s v="ON"/>
    <x v="33"/>
    <s v="2013-2014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7870.54704999999"/>
    <n v="1477702"/>
    <n v="1477702"/>
    <n v="1497810.8"/>
    <n v="1379713.2"/>
    <n v="1379713.2"/>
    <n v="1414326.6"/>
    <n v="1433622.3"/>
    <n v="63375.4"/>
    <n v="64188.5"/>
    <n v="97988.800000000003"/>
    <n v="1477702"/>
    <n v="113139.511"/>
    <n v="118097.60000000001"/>
    <n v="1477702"/>
    <n v="1497810.8"/>
  </r>
  <r>
    <x v="1"/>
    <n v="0"/>
    <s v="ON"/>
    <x v="33"/>
    <s v="2014-2015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69"/>
    <m/>
    <n v="282670"/>
    <n v="1422011.4"/>
    <n v="1422011.4"/>
    <n v="1425249.5"/>
    <n v="1296985"/>
    <n v="1296985"/>
    <n v="1409321.5"/>
    <n v="1412252.6"/>
    <n v="12690"/>
    <n v="12997"/>
    <n v="111761.9"/>
    <n v="1422011.4"/>
    <n v="105208.6"/>
    <n v="115000"/>
    <n v="1422011.4"/>
    <n v="1425249.5"/>
  </r>
  <r>
    <x v="1"/>
    <n v="0"/>
    <s v="ON"/>
    <x v="33"/>
    <s v="2015-201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5"/>
    <m/>
    <n v="299517.17913"/>
    <n v="1430230.9999999998"/>
    <n v="1430230.9999999998"/>
    <n v="1425327.2999999998"/>
    <n v="1358327.2999999998"/>
    <n v="1358327.2999999998"/>
    <n v="1409572.0999999999"/>
    <n v="1404668.4"/>
    <n v="20658.900000000001"/>
    <n v="20658.900000000001"/>
    <n v="71903.7"/>
    <n v="1430230.9999999998"/>
    <n v="60560.5"/>
    <n v="67000"/>
    <n v="1430230.9999999998"/>
    <n v="1425327.2999999998"/>
  </r>
  <r>
    <x v="1"/>
    <n v="0"/>
    <s v="ON"/>
    <x v="33"/>
    <s v="2016-2017"/>
    <x v="4"/>
    <m/>
    <m/>
    <m/>
    <m/>
    <m/>
    <m/>
    <m/>
    <m/>
    <m/>
    <m/>
    <m/>
    <m/>
    <m/>
    <m/>
    <m/>
    <m/>
    <m/>
    <m/>
    <m/>
    <m/>
    <m/>
    <m/>
    <m/>
    <m/>
    <m/>
    <m/>
    <m/>
    <m/>
    <n v="2273"/>
    <m/>
    <m/>
    <m/>
    <n v="460"/>
    <m/>
    <n v="327125.75745099987"/>
    <n v="1521741.574"/>
    <n v="1521741.574"/>
    <n v="1524483.65"/>
    <n v="1470588.7209999999"/>
    <n v="1471983.65"/>
    <n v="1474213.6429999999"/>
    <n v="1476955.71"/>
    <n v="47527.930999999997"/>
    <n v="47527.94"/>
    <n v="51152.853000000003"/>
    <n v="1521741.574"/>
    <n v="51638.898000000001"/>
    <n v="52500"/>
    <n v="1521741.574"/>
    <n v="1524483.65"/>
  </r>
  <r>
    <x v="1"/>
    <n v="0"/>
    <s v="ON"/>
    <x v="33"/>
    <s v="2017-2018"/>
    <x v="5"/>
    <m/>
    <m/>
    <m/>
    <m/>
    <m/>
    <m/>
    <m/>
    <m/>
    <m/>
    <m/>
    <m/>
    <m/>
    <m/>
    <m/>
    <m/>
    <m/>
    <m/>
    <m/>
    <m/>
    <m/>
    <m/>
    <m/>
    <m/>
    <m/>
    <m/>
    <m/>
    <m/>
    <m/>
    <n v="3330"/>
    <m/>
    <m/>
    <n v="0"/>
    <n v="459"/>
    <m/>
    <n v="364874.22713000007"/>
    <n v="1581332.3219999999"/>
    <n v="1581332.3219999999"/>
    <n v="1587194"/>
    <n v="1532193.57"/>
    <n v="1532193.57"/>
    <n v="1522202.77"/>
    <n v="1528064.0179999999"/>
    <n v="59130"/>
    <n v="59130"/>
    <n v="49138.752"/>
    <n v="1581332.3219999999"/>
    <n v="49482.362999999998"/>
    <n v="55000"/>
    <n v="1581332.3219999999"/>
    <n v="1587193.57"/>
  </r>
  <r>
    <x v="1"/>
    <n v="0"/>
    <s v="ON"/>
    <x v="33"/>
    <s v="2018-2019"/>
    <x v="6"/>
    <m/>
    <m/>
    <m/>
    <m/>
    <m/>
    <m/>
    <m/>
    <m/>
    <m/>
    <m/>
    <m/>
    <m/>
    <m/>
    <m/>
    <m/>
    <m/>
    <m/>
    <m/>
    <m/>
    <m/>
    <m/>
    <m/>
    <m/>
    <m/>
    <m/>
    <m/>
    <m/>
    <m/>
    <n v="1188"/>
    <m/>
    <m/>
    <m/>
    <n v="9103"/>
    <m/>
    <n v="367837.29021000001"/>
    <n v="1578480"/>
    <n v="1578480"/>
    <n v="1583166"/>
    <n v="1528166.3060000001"/>
    <n v="1528166.3060000001"/>
    <n v="1574833.44"/>
    <n v="1579519.281"/>
    <n v="3647.0250000000001"/>
    <n v="3647.0250000000001"/>
    <n v="50314.159"/>
    <n v="1578480.4650000001"/>
    <n v="50568.584999999999"/>
    <n v="55000"/>
    <n v="1578480.4650000001"/>
    <n v="1583166.306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3:U10" firstHeaderRow="0" firstDataRow="1" firstDataCol="1" rowPageCount="1" colPageCount="1"/>
  <pivotFields count="80">
    <pivotField showAll="0">
      <items count="4">
        <item x="0"/>
        <item x="1"/>
        <item x="2"/>
        <item t="default"/>
      </items>
    </pivotField>
    <pivotField showAll="0"/>
    <pivotField showAll="0"/>
    <pivotField axis="axisPage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pageFields count="1">
    <pageField fld="3" item="26" hier="-1"/>
  </pageFields>
  <dataFields count="20">
    <dataField name="_COB" fld="58" subtotal="average" baseField="5" baseItem="0" numFmtId="2"/>
    <dataField name="_ATN" fld="59" subtotal="average" baseField="5" baseItem="0" numFmtId="4"/>
    <dataField name="_ABS" fld="60" subtotal="average" baseField="5" baseItem="0" numFmtId="2"/>
    <dataField name="_MAT" fld="6" baseField="5" baseItem="0" numFmtId="3"/>
    <dataField name="_ACI" fld="61" subtotal="average" baseField="5" baseItem="6" numFmtId="2"/>
    <dataField name="_AE" fld="56" subtotal="average" baseField="5" baseItem="0" numFmtId="164"/>
    <dataField name="_REP" fld="62" subtotal="average" baseField="5" baseItem="1" numFmtId="164"/>
    <dataField name="_TE" fld="63" subtotal="average" baseField="5" baseItem="0" numFmtId="164"/>
    <dataField name="_ET" fld="65" subtotal="average" baseField="5" baseItem="0" numFmtId="164"/>
    <dataField name="_TIT" fld="57" subtotal="average" baseField="5" baseItem="0" numFmtId="164"/>
    <dataField name="_COSTO" fld="64" baseField="5" baseItem="5" numFmtId="169"/>
    <dataField name="_ADOC" fld="66" subtotal="average" baseField="5" baseItem="0" numFmtId="3"/>
    <dataField name="_BECAS" fld="67" subtotal="average" baseField="5" baseItem="0" numFmtId="165"/>
    <dataField name="_APC" fld="68" subtotal="average" baseField="5" baseItem="0" numFmtId="3"/>
    <dataField name="_ADMPC" fld="69" subtotal="average" baseField="5" baseItem="0" numFmtId="1"/>
    <dataField name="_CAP" fld="34" baseField="5" baseItem="0" numFmtId="3"/>
    <dataField name="_SERVTEC" fld="39" baseField="5" baseItem="0" numFmtId="3"/>
    <dataField name="_CERTIFIC" fld="38" baseField="5" baseItem="0" numFmtId="3"/>
    <dataField name="_BECEXT" fld="70" subtotal="average" baseField="5" baseItem="0" numFmtId="164"/>
    <dataField name="_PCSINEMS" fld="71" subtotal="average" baseField="5" baseItem="5" numFmtId="164"/>
  </dataFields>
  <formats count="55">
    <format dxfId="1423">
      <pivotArea type="all" dataOnly="0" outline="0" fieldPosition="0"/>
    </format>
    <format dxfId="1422">
      <pivotArea outline="0" collapsedLevelsAreSubtotals="1" fieldPosition="0"/>
    </format>
    <format dxfId="1421">
      <pivotArea type="origin" dataOnly="0" labelOnly="1" outline="0" fieldPosition="0"/>
    </format>
    <format dxfId="1420">
      <pivotArea field="5" type="button" dataOnly="0" labelOnly="1" outline="0" axis="axisRow" fieldPosition="0"/>
    </format>
    <format dxfId="1419">
      <pivotArea type="topRight" dataOnly="0" labelOnly="1" outline="0" fieldPosition="0"/>
    </format>
    <format dxfId="1418">
      <pivotArea field="3" type="button" dataOnly="0" labelOnly="1" outline="0" axis="axisPage" fieldPosition="0"/>
    </format>
    <format dxfId="1417">
      <pivotArea dataOnly="0" labelOnly="1" grandRow="1" outline="0" fieldPosition="0"/>
    </format>
    <format dxfId="1416">
      <pivotArea type="all" dataOnly="0" outline="0" fieldPosition="0"/>
    </format>
    <format dxfId="1415">
      <pivotArea outline="0" collapsedLevelsAreSubtotals="1" fieldPosition="0"/>
    </format>
    <format dxfId="1414">
      <pivotArea type="origin" dataOnly="0" labelOnly="1" outline="0" fieldPosition="0"/>
    </format>
    <format dxfId="1413">
      <pivotArea field="5" type="button" dataOnly="0" labelOnly="1" outline="0" axis="axisRow" fieldPosition="0"/>
    </format>
    <format dxfId="1412">
      <pivotArea type="topRight" dataOnly="0" labelOnly="1" outline="0" fieldPosition="0"/>
    </format>
    <format dxfId="1411">
      <pivotArea field="3" type="button" dataOnly="0" labelOnly="1" outline="0" axis="axisPage" fieldPosition="0"/>
    </format>
    <format dxfId="1410">
      <pivotArea dataOnly="0" labelOnly="1" grandRow="1" outline="0" fieldPosition="0"/>
    </format>
    <format dxfId="1409">
      <pivotArea type="all" dataOnly="0" outline="0" fieldPosition="0"/>
    </format>
    <format dxfId="1408">
      <pivotArea outline="0" collapsedLevelsAreSubtotals="1" fieldPosition="0"/>
    </format>
    <format dxfId="1407">
      <pivotArea type="origin" dataOnly="0" labelOnly="1" outline="0" fieldPosition="0"/>
    </format>
    <format dxfId="1406">
      <pivotArea field="5" type="button" dataOnly="0" labelOnly="1" outline="0" axis="axisRow" fieldPosition="0"/>
    </format>
    <format dxfId="1405">
      <pivotArea type="topRight" dataOnly="0" labelOnly="1" outline="0" fieldPosition="0"/>
    </format>
    <format dxfId="1404">
      <pivotArea field="0" type="button" dataOnly="0" labelOnly="1" outline="0"/>
    </format>
    <format dxfId="1403">
      <pivotArea dataOnly="0" labelOnly="1" grandRow="1" outline="0" fieldPosition="0"/>
    </format>
    <format dxfId="1402">
      <pivotArea type="origin" dataOnly="0" labelOnly="1" outline="0" fieldPosition="0"/>
    </format>
    <format dxfId="1401">
      <pivotArea outline="0" fieldPosition="0">
        <references count="1">
          <reference field="4294967294" count="1">
            <x v="1"/>
          </reference>
        </references>
      </pivotArea>
    </format>
    <format dxfId="1400">
      <pivotArea outline="0" fieldPosition="0">
        <references count="1">
          <reference field="4294967294" count="1">
            <x v="0"/>
          </reference>
        </references>
      </pivotArea>
    </format>
    <format dxfId="1399">
      <pivotArea field="5" type="button" dataOnly="0" labelOnly="1" outline="0" axis="axisRow" fieldPosition="0"/>
    </format>
    <format dxfId="13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7">
      <pivotArea field="5" type="button" dataOnly="0" labelOnly="1" outline="0" axis="axisRow" fieldPosition="0"/>
    </format>
    <format dxfId="1396">
      <pivotArea outline="0" fieldPosition="0">
        <references count="1">
          <reference field="4294967294" count="1">
            <x v="2"/>
          </reference>
        </references>
      </pivotArea>
    </format>
    <format dxfId="1395">
      <pivotArea outline="0" fieldPosition="0">
        <references count="1">
          <reference field="4294967294" count="1">
            <x v="3"/>
          </reference>
        </references>
      </pivotArea>
    </format>
    <format dxfId="1394">
      <pivotArea outline="0" fieldPosition="0">
        <references count="1">
          <reference field="4294967294" count="1">
            <x v="4"/>
          </reference>
        </references>
      </pivotArea>
    </format>
    <format dxfId="1393">
      <pivotArea outline="0" fieldPosition="0">
        <references count="1">
          <reference field="4294967294" count="1">
            <x v="5"/>
          </reference>
        </references>
      </pivotArea>
    </format>
    <format dxfId="139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9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90">
      <pivotArea outline="0" fieldPosition="0">
        <references count="1">
          <reference field="4294967294" count="1">
            <x v="6"/>
          </reference>
        </references>
      </pivotArea>
    </format>
    <format dxfId="1389">
      <pivotArea outline="0" fieldPosition="0">
        <references count="1">
          <reference field="4294967294" count="1">
            <x v="7"/>
          </reference>
        </references>
      </pivotArea>
    </format>
    <format dxfId="1388">
      <pivotArea field="5" type="button" dataOnly="0" labelOnly="1" outline="0" axis="axisRow" fieldPosition="0"/>
    </format>
    <format dxfId="138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86">
      <pivotArea outline="0" fieldPosition="0">
        <references count="1">
          <reference field="4294967294" count="1">
            <x v="8"/>
          </reference>
        </references>
      </pivotArea>
    </format>
    <format dxfId="1385">
      <pivotArea outline="0" fieldPosition="0">
        <references count="1">
          <reference field="4294967294" count="1">
            <x v="10"/>
          </reference>
        </references>
      </pivotArea>
    </format>
    <format dxfId="1384">
      <pivotArea type="all" dataOnly="0" outline="0" fieldPosition="0"/>
    </format>
    <format dxfId="1383">
      <pivotArea outline="0" collapsedLevelsAreSubtotals="1" fieldPosition="0"/>
    </format>
    <format dxfId="1382">
      <pivotArea field="5" type="button" dataOnly="0" labelOnly="1" outline="0" axis="axisRow" fieldPosition="0"/>
    </format>
    <format dxfId="1381">
      <pivotArea dataOnly="0" labelOnly="1" fieldPosition="0">
        <references count="1">
          <reference field="5" count="0"/>
        </references>
      </pivotArea>
    </format>
    <format dxfId="138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79">
      <pivotArea field="5" type="button" dataOnly="0" labelOnly="1" outline="0" axis="axisRow" fieldPosition="0"/>
    </format>
    <format dxfId="1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77">
      <pivotArea field="5" type="button" dataOnly="0" labelOnly="1" outline="0" axis="axisRow" fieldPosition="0"/>
    </format>
    <format dxfId="13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75">
      <pivotArea outline="0" fieldPosition="0">
        <references count="1">
          <reference field="4294967294" count="1">
            <x v="12"/>
          </reference>
        </references>
      </pivotArea>
    </format>
    <format dxfId="1374">
      <pivotArea outline="0" fieldPosition="0">
        <references count="1">
          <reference field="4294967294" count="1">
            <x v="14"/>
          </reference>
        </references>
      </pivotArea>
    </format>
    <format dxfId="1373">
      <pivotArea outline="0" fieldPosition="0">
        <references count="1">
          <reference field="4294967294" count="1">
            <x v="15"/>
          </reference>
        </references>
      </pivotArea>
    </format>
    <format dxfId="1372">
      <pivotArea outline="0" fieldPosition="0">
        <references count="1">
          <reference field="4294967294" count="1">
            <x v="16"/>
          </reference>
        </references>
      </pivotArea>
    </format>
    <format dxfId="1371">
      <pivotArea outline="0" fieldPosition="0">
        <references count="1">
          <reference field="4294967294" count="1">
            <x v="17"/>
          </reference>
        </references>
      </pivotArea>
    </format>
    <format dxfId="1370">
      <pivotArea outline="0" fieldPosition="0">
        <references count="1">
          <reference field="4294967294" count="1">
            <x v="18"/>
          </reference>
        </references>
      </pivotArea>
    </format>
    <format dxfId="1369">
      <pivotArea outline="0" fieldPosition="0">
        <references count="1">
          <reference field="4294967294" count="1">
            <x v="19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D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h="1" x="0"/>
        <item h="1" x="1"/>
        <item h="1" x="2"/>
        <item h="1"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3">
    <i>
      <x v="4"/>
    </i>
    <i>
      <x v="5"/>
    </i>
    <i>
      <x v="6"/>
    </i>
  </colItems>
  <dataFields count="1">
    <dataField name="Promedio de TE" fld="63" subtotal="average" baseField="3" baseItem="0" numFmtId="164"/>
  </dataFields>
  <formats count="34">
    <format dxfId="1031">
      <pivotArea type="all" dataOnly="0" outline="0" fieldPosition="0"/>
    </format>
    <format dxfId="1030">
      <pivotArea outline="0" collapsedLevelsAreSubtotals="1" fieldPosition="0"/>
    </format>
    <format dxfId="1029">
      <pivotArea type="origin" dataOnly="0" labelOnly="1" outline="0" fieldPosition="0"/>
    </format>
    <format dxfId="1028">
      <pivotArea field="5" type="button" dataOnly="0" labelOnly="1" outline="0" axis="axisCol" fieldPosition="0"/>
    </format>
    <format dxfId="1027">
      <pivotArea type="topRight" dataOnly="0" labelOnly="1" outline="0" fieldPosition="0"/>
    </format>
    <format dxfId="1026">
      <pivotArea field="3" type="button" dataOnly="0" labelOnly="1" outline="0" axis="axisRow" fieldPosition="1"/>
    </format>
    <format dxfId="1025">
      <pivotArea dataOnly="0" labelOnly="1" fieldPosition="0">
        <references count="1">
          <reference field="3" count="0"/>
        </references>
      </pivotArea>
    </format>
    <format dxfId="1024">
      <pivotArea dataOnly="0" labelOnly="1" grandRow="1" outline="0" fieldPosition="0"/>
    </format>
    <format dxfId="1023">
      <pivotArea dataOnly="0" labelOnly="1" fieldPosition="0">
        <references count="1">
          <reference field="5" count="0"/>
        </references>
      </pivotArea>
    </format>
    <format dxfId="1022">
      <pivotArea type="all" dataOnly="0" outline="0" fieldPosition="0"/>
    </format>
    <format dxfId="1021">
      <pivotArea outline="0" collapsedLevelsAreSubtotals="1" fieldPosition="0"/>
    </format>
    <format dxfId="1020">
      <pivotArea type="origin" dataOnly="0" labelOnly="1" outline="0" fieldPosition="0"/>
    </format>
    <format dxfId="1019">
      <pivotArea field="5" type="button" dataOnly="0" labelOnly="1" outline="0" axis="axisCol" fieldPosition="0"/>
    </format>
    <format dxfId="1018">
      <pivotArea type="topRight" dataOnly="0" labelOnly="1" outline="0" fieldPosition="0"/>
    </format>
    <format dxfId="1017">
      <pivotArea field="3" type="button" dataOnly="0" labelOnly="1" outline="0" axis="axisRow" fieldPosition="1"/>
    </format>
    <format dxfId="1016">
      <pivotArea dataOnly="0" labelOnly="1" fieldPosition="0">
        <references count="1">
          <reference field="3" count="0"/>
        </references>
      </pivotArea>
    </format>
    <format dxfId="1015">
      <pivotArea dataOnly="0" labelOnly="1" grandRow="1" outline="0" fieldPosition="0"/>
    </format>
    <format dxfId="1014">
      <pivotArea dataOnly="0" labelOnly="1" fieldPosition="0">
        <references count="1">
          <reference field="5" count="0"/>
        </references>
      </pivotArea>
    </format>
    <format dxfId="1013">
      <pivotArea type="all" dataOnly="0" outline="0" fieldPosition="0"/>
    </format>
    <format dxfId="1012">
      <pivotArea outline="0" collapsedLevelsAreSubtotals="1" fieldPosition="0"/>
    </format>
    <format dxfId="1011">
      <pivotArea type="origin" dataOnly="0" labelOnly="1" outline="0" fieldPosition="0"/>
    </format>
    <format dxfId="1010">
      <pivotArea field="5" type="button" dataOnly="0" labelOnly="1" outline="0" axis="axisCol" fieldPosition="0"/>
    </format>
    <format dxfId="1009">
      <pivotArea type="topRight" dataOnly="0" labelOnly="1" outline="0" fieldPosition="0"/>
    </format>
    <format dxfId="1008">
      <pivotArea field="0" type="button" dataOnly="0" labelOnly="1" outline="0" axis="axisRow" fieldPosition="0"/>
    </format>
    <format dxfId="1007">
      <pivotArea dataOnly="0" labelOnly="1" fieldPosition="0">
        <references count="1">
          <reference field="0" count="0"/>
        </references>
      </pivotArea>
    </format>
    <format dxfId="1006">
      <pivotArea dataOnly="0" labelOnly="1" grandRow="1" outline="0" fieldPosition="0"/>
    </format>
    <format dxfId="1005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04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003">
      <pivotArea dataOnly="0" labelOnly="1" fieldPosition="0">
        <references count="1">
          <reference field="5" count="0"/>
        </references>
      </pivotArea>
    </format>
    <format dxfId="1002">
      <pivotArea type="origin" dataOnly="0" labelOnly="1" outline="0" fieldPosition="0"/>
    </format>
    <format dxfId="1001">
      <pivotArea collapsedLevelsAreSubtotals="1" fieldPosition="0">
        <references count="1">
          <reference field="0" count="1">
            <x v="1"/>
          </reference>
        </references>
      </pivotArea>
    </format>
    <format dxfId="1000">
      <pivotArea collapsedLevelsAreSubtotals="1" fieldPosition="0">
        <references count="1">
          <reference field="0" count="1">
            <x v="1"/>
          </reference>
        </references>
      </pivotArea>
    </format>
    <format dxfId="999">
      <pivotArea collapsedLevelsAreSubtotals="1" fieldPosition="0">
        <references count="1">
          <reference field="0" count="1">
            <x v="1"/>
          </reference>
        </references>
      </pivotArea>
    </format>
    <format dxfId="99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TIT" fld="57" subtotal="average" baseField="3" baseItem="0" numFmtId="164"/>
  </dataFields>
  <formats count="34">
    <format dxfId="989">
      <pivotArea type="all" dataOnly="0" outline="0" fieldPosition="0"/>
    </format>
    <format dxfId="988">
      <pivotArea outline="0" collapsedLevelsAreSubtotals="1" fieldPosition="0"/>
    </format>
    <format dxfId="987">
      <pivotArea type="origin" dataOnly="0" labelOnly="1" outline="0" fieldPosition="0"/>
    </format>
    <format dxfId="986">
      <pivotArea field="5" type="button" dataOnly="0" labelOnly="1" outline="0" axis="axisCol" fieldPosition="0"/>
    </format>
    <format dxfId="985">
      <pivotArea type="topRight" dataOnly="0" labelOnly="1" outline="0" fieldPosition="0"/>
    </format>
    <format dxfId="984">
      <pivotArea field="3" type="button" dataOnly="0" labelOnly="1" outline="0" axis="axisRow" fieldPosition="1"/>
    </format>
    <format dxfId="983">
      <pivotArea dataOnly="0" labelOnly="1" fieldPosition="0">
        <references count="1">
          <reference field="3" count="0"/>
        </references>
      </pivotArea>
    </format>
    <format dxfId="982">
      <pivotArea dataOnly="0" labelOnly="1" grandRow="1" outline="0" fieldPosition="0"/>
    </format>
    <format dxfId="981">
      <pivotArea dataOnly="0" labelOnly="1" fieldPosition="0">
        <references count="1">
          <reference field="5" count="0"/>
        </references>
      </pivotArea>
    </format>
    <format dxfId="980">
      <pivotArea type="all" dataOnly="0" outline="0" fieldPosition="0"/>
    </format>
    <format dxfId="979">
      <pivotArea outline="0" collapsedLevelsAreSubtotals="1" fieldPosition="0"/>
    </format>
    <format dxfId="978">
      <pivotArea type="origin" dataOnly="0" labelOnly="1" outline="0" fieldPosition="0"/>
    </format>
    <format dxfId="977">
      <pivotArea field="5" type="button" dataOnly="0" labelOnly="1" outline="0" axis="axisCol" fieldPosition="0"/>
    </format>
    <format dxfId="976">
      <pivotArea type="topRight" dataOnly="0" labelOnly="1" outline="0" fieldPosition="0"/>
    </format>
    <format dxfId="975">
      <pivotArea field="3" type="button" dataOnly="0" labelOnly="1" outline="0" axis="axisRow" fieldPosition="1"/>
    </format>
    <format dxfId="974">
      <pivotArea dataOnly="0" labelOnly="1" fieldPosition="0">
        <references count="1">
          <reference field="3" count="0"/>
        </references>
      </pivotArea>
    </format>
    <format dxfId="973">
      <pivotArea dataOnly="0" labelOnly="1" grandRow="1" outline="0" fieldPosition="0"/>
    </format>
    <format dxfId="972">
      <pivotArea dataOnly="0" labelOnly="1" fieldPosition="0">
        <references count="1">
          <reference field="5" count="0"/>
        </references>
      </pivotArea>
    </format>
    <format dxfId="971">
      <pivotArea type="all" dataOnly="0" outline="0" fieldPosition="0"/>
    </format>
    <format dxfId="970">
      <pivotArea outline="0" collapsedLevelsAreSubtotals="1" fieldPosition="0"/>
    </format>
    <format dxfId="969">
      <pivotArea type="origin" dataOnly="0" labelOnly="1" outline="0" fieldPosition="0"/>
    </format>
    <format dxfId="968">
      <pivotArea field="5" type="button" dataOnly="0" labelOnly="1" outline="0" axis="axisCol" fieldPosition="0"/>
    </format>
    <format dxfId="967">
      <pivotArea type="topRight" dataOnly="0" labelOnly="1" outline="0" fieldPosition="0"/>
    </format>
    <format dxfId="966">
      <pivotArea field="0" type="button" dataOnly="0" labelOnly="1" outline="0" axis="axisRow" fieldPosition="0"/>
    </format>
    <format dxfId="965">
      <pivotArea dataOnly="0" labelOnly="1" fieldPosition="0">
        <references count="1">
          <reference field="0" count="0"/>
        </references>
      </pivotArea>
    </format>
    <format dxfId="964">
      <pivotArea dataOnly="0" labelOnly="1" grandRow="1" outline="0" fieldPosition="0"/>
    </format>
    <format dxfId="963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962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961">
      <pivotArea dataOnly="0" labelOnly="1" fieldPosition="0">
        <references count="1">
          <reference field="5" count="0"/>
        </references>
      </pivotArea>
    </format>
    <format dxfId="960">
      <pivotArea type="origin" dataOnly="0" labelOnly="1" outline="0" fieldPosition="0"/>
    </format>
    <format dxfId="959">
      <pivotArea collapsedLevelsAreSubtotals="1" fieldPosition="0">
        <references count="1">
          <reference field="0" count="1">
            <x v="1"/>
          </reference>
        </references>
      </pivotArea>
    </format>
    <format dxfId="958">
      <pivotArea collapsedLevelsAreSubtotals="1" fieldPosition="0">
        <references count="1">
          <reference field="0" count="1">
            <x v="1"/>
          </reference>
        </references>
      </pivotArea>
    </format>
    <format dxfId="957">
      <pivotArea collapsedLevelsAreSubtotals="1" fieldPosition="0">
        <references count="1">
          <reference field="0" count="1">
            <x v="1"/>
          </reference>
        </references>
      </pivotArea>
    </format>
    <format dxfId="95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COSTO" fld="64" subtotal="average" baseField="3" baseItem="0" numFmtId="3"/>
  </dataFields>
  <formats count="35">
    <format dxfId="947">
      <pivotArea type="all" dataOnly="0" outline="0" fieldPosition="0"/>
    </format>
    <format dxfId="946">
      <pivotArea outline="0" collapsedLevelsAreSubtotals="1" fieldPosition="0"/>
    </format>
    <format dxfId="945">
      <pivotArea type="origin" dataOnly="0" labelOnly="1" outline="0" fieldPosition="0"/>
    </format>
    <format dxfId="944">
      <pivotArea field="5" type="button" dataOnly="0" labelOnly="1" outline="0" axis="axisCol" fieldPosition="0"/>
    </format>
    <format dxfId="943">
      <pivotArea type="topRight" dataOnly="0" labelOnly="1" outline="0" fieldPosition="0"/>
    </format>
    <format dxfId="942">
      <pivotArea field="3" type="button" dataOnly="0" labelOnly="1" outline="0" axis="axisRow" fieldPosition="1"/>
    </format>
    <format dxfId="941">
      <pivotArea dataOnly="0" labelOnly="1" fieldPosition="0">
        <references count="1">
          <reference field="3" count="0"/>
        </references>
      </pivotArea>
    </format>
    <format dxfId="940">
      <pivotArea dataOnly="0" labelOnly="1" grandRow="1" outline="0" fieldPosition="0"/>
    </format>
    <format dxfId="939">
      <pivotArea dataOnly="0" labelOnly="1" fieldPosition="0">
        <references count="1">
          <reference field="5" count="0"/>
        </references>
      </pivotArea>
    </format>
    <format dxfId="938">
      <pivotArea type="all" dataOnly="0" outline="0" fieldPosition="0"/>
    </format>
    <format dxfId="937">
      <pivotArea outline="0" collapsedLevelsAreSubtotals="1" fieldPosition="0"/>
    </format>
    <format dxfId="936">
      <pivotArea type="origin" dataOnly="0" labelOnly="1" outline="0" fieldPosition="0"/>
    </format>
    <format dxfId="935">
      <pivotArea field="5" type="button" dataOnly="0" labelOnly="1" outline="0" axis="axisCol" fieldPosition="0"/>
    </format>
    <format dxfId="934">
      <pivotArea type="topRight" dataOnly="0" labelOnly="1" outline="0" fieldPosition="0"/>
    </format>
    <format dxfId="933">
      <pivotArea field="3" type="button" dataOnly="0" labelOnly="1" outline="0" axis="axisRow" fieldPosition="1"/>
    </format>
    <format dxfId="932">
      <pivotArea dataOnly="0" labelOnly="1" fieldPosition="0">
        <references count="1">
          <reference field="3" count="0"/>
        </references>
      </pivotArea>
    </format>
    <format dxfId="931">
      <pivotArea dataOnly="0" labelOnly="1" grandRow="1" outline="0" fieldPosition="0"/>
    </format>
    <format dxfId="930">
      <pivotArea dataOnly="0" labelOnly="1" fieldPosition="0">
        <references count="1">
          <reference field="5" count="0"/>
        </references>
      </pivotArea>
    </format>
    <format dxfId="929">
      <pivotArea type="all" dataOnly="0" outline="0" fieldPosition="0"/>
    </format>
    <format dxfId="928">
      <pivotArea outline="0" collapsedLevelsAreSubtotals="1" fieldPosition="0"/>
    </format>
    <format dxfId="927">
      <pivotArea type="origin" dataOnly="0" labelOnly="1" outline="0" fieldPosition="0"/>
    </format>
    <format dxfId="926">
      <pivotArea field="5" type="button" dataOnly="0" labelOnly="1" outline="0" axis="axisCol" fieldPosition="0"/>
    </format>
    <format dxfId="925">
      <pivotArea type="topRight" dataOnly="0" labelOnly="1" outline="0" fieldPosition="0"/>
    </format>
    <format dxfId="924">
      <pivotArea field="0" type="button" dataOnly="0" labelOnly="1" outline="0" axis="axisRow" fieldPosition="0"/>
    </format>
    <format dxfId="923">
      <pivotArea dataOnly="0" labelOnly="1" fieldPosition="0">
        <references count="1">
          <reference field="0" count="0"/>
        </references>
      </pivotArea>
    </format>
    <format dxfId="922">
      <pivotArea dataOnly="0" labelOnly="1" grandRow="1" outline="0" fieldPosition="0"/>
    </format>
    <format dxfId="921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920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919">
      <pivotArea dataOnly="0" labelOnly="1" fieldPosition="0">
        <references count="1">
          <reference field="5" count="0"/>
        </references>
      </pivotArea>
    </format>
    <format dxfId="918">
      <pivotArea type="origin" dataOnly="0" labelOnly="1" outline="0" fieldPosition="0"/>
    </format>
    <format dxfId="917">
      <pivotArea collapsedLevelsAreSubtotals="1" fieldPosition="0">
        <references count="1">
          <reference field="0" count="1">
            <x v="1"/>
          </reference>
        </references>
      </pivotArea>
    </format>
    <format dxfId="916">
      <pivotArea collapsedLevelsAreSubtotals="1" fieldPosition="0">
        <references count="1">
          <reference field="0" count="1">
            <x v="1"/>
          </reference>
        </references>
      </pivotArea>
    </format>
    <format dxfId="915">
      <pivotArea collapsedLevelsAreSubtotals="1" fieldPosition="0">
        <references count="1">
          <reference field="0" count="1">
            <x v="1"/>
          </reference>
        </references>
      </pivotArea>
    </format>
    <format dxfId="914">
      <pivotArea outline="0" fieldPosition="0">
        <references count="1">
          <reference field="4294967294" count="1">
            <x v="0"/>
          </reference>
        </references>
      </pivotArea>
    </format>
    <format dxfId="91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ADOC" fld="66" subtotal="average" baseField="3" baseItem="0" numFmtId="1"/>
  </dataFields>
  <formats count="38">
    <format dxfId="904">
      <pivotArea type="all" dataOnly="0" outline="0" fieldPosition="0"/>
    </format>
    <format dxfId="903">
      <pivotArea outline="0" collapsedLevelsAreSubtotals="1" fieldPosition="0"/>
    </format>
    <format dxfId="902">
      <pivotArea type="origin" dataOnly="0" labelOnly="1" outline="0" fieldPosition="0"/>
    </format>
    <format dxfId="901">
      <pivotArea field="5" type="button" dataOnly="0" labelOnly="1" outline="0" axis="axisCol" fieldPosition="0"/>
    </format>
    <format dxfId="900">
      <pivotArea type="topRight" dataOnly="0" labelOnly="1" outline="0" fieldPosition="0"/>
    </format>
    <format dxfId="899">
      <pivotArea field="3" type="button" dataOnly="0" labelOnly="1" outline="0" axis="axisRow" fieldPosition="1"/>
    </format>
    <format dxfId="898">
      <pivotArea dataOnly="0" labelOnly="1" fieldPosition="0">
        <references count="1">
          <reference field="3" count="0"/>
        </references>
      </pivotArea>
    </format>
    <format dxfId="897">
      <pivotArea dataOnly="0" labelOnly="1" grandRow="1" outline="0" fieldPosition="0"/>
    </format>
    <format dxfId="896">
      <pivotArea dataOnly="0" labelOnly="1" fieldPosition="0">
        <references count="1">
          <reference field="5" count="0"/>
        </references>
      </pivotArea>
    </format>
    <format dxfId="895">
      <pivotArea type="all" dataOnly="0" outline="0" fieldPosition="0"/>
    </format>
    <format dxfId="894">
      <pivotArea outline="0" collapsedLevelsAreSubtotals="1" fieldPosition="0"/>
    </format>
    <format dxfId="893">
      <pivotArea type="origin" dataOnly="0" labelOnly="1" outline="0" fieldPosition="0"/>
    </format>
    <format dxfId="892">
      <pivotArea field="5" type="button" dataOnly="0" labelOnly="1" outline="0" axis="axisCol" fieldPosition="0"/>
    </format>
    <format dxfId="891">
      <pivotArea type="topRight" dataOnly="0" labelOnly="1" outline="0" fieldPosition="0"/>
    </format>
    <format dxfId="890">
      <pivotArea field="3" type="button" dataOnly="0" labelOnly="1" outline="0" axis="axisRow" fieldPosition="1"/>
    </format>
    <format dxfId="889">
      <pivotArea dataOnly="0" labelOnly="1" fieldPosition="0">
        <references count="1">
          <reference field="3" count="0"/>
        </references>
      </pivotArea>
    </format>
    <format dxfId="888">
      <pivotArea dataOnly="0" labelOnly="1" grandRow="1" outline="0" fieldPosition="0"/>
    </format>
    <format dxfId="887">
      <pivotArea dataOnly="0" labelOnly="1" fieldPosition="0">
        <references count="1">
          <reference field="5" count="0"/>
        </references>
      </pivotArea>
    </format>
    <format dxfId="886">
      <pivotArea type="all" dataOnly="0" outline="0" fieldPosition="0"/>
    </format>
    <format dxfId="885">
      <pivotArea outline="0" collapsedLevelsAreSubtotals="1" fieldPosition="0"/>
    </format>
    <format dxfId="884">
      <pivotArea type="origin" dataOnly="0" labelOnly="1" outline="0" fieldPosition="0"/>
    </format>
    <format dxfId="883">
      <pivotArea field="5" type="button" dataOnly="0" labelOnly="1" outline="0" axis="axisCol" fieldPosition="0"/>
    </format>
    <format dxfId="882">
      <pivotArea type="topRight" dataOnly="0" labelOnly="1" outline="0" fieldPosition="0"/>
    </format>
    <format dxfId="881">
      <pivotArea field="0" type="button" dataOnly="0" labelOnly="1" outline="0" axis="axisRow" fieldPosition="0"/>
    </format>
    <format dxfId="880">
      <pivotArea dataOnly="0" labelOnly="1" fieldPosition="0">
        <references count="1">
          <reference field="0" count="0"/>
        </references>
      </pivotArea>
    </format>
    <format dxfId="879">
      <pivotArea dataOnly="0" labelOnly="1" grandRow="1" outline="0" fieldPosition="0"/>
    </format>
    <format dxfId="878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877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876">
      <pivotArea dataOnly="0" labelOnly="1" fieldPosition="0">
        <references count="1">
          <reference field="5" count="0"/>
        </references>
      </pivotArea>
    </format>
    <format dxfId="875">
      <pivotArea type="origin" dataOnly="0" labelOnly="1" outline="0" fieldPosition="0"/>
    </format>
    <format dxfId="874">
      <pivotArea collapsedLevelsAreSubtotals="1" fieldPosition="0">
        <references count="1">
          <reference field="0" count="1">
            <x v="1"/>
          </reference>
        </references>
      </pivotArea>
    </format>
    <format dxfId="873">
      <pivotArea collapsedLevelsAreSubtotals="1" fieldPosition="0">
        <references count="1">
          <reference field="0" count="1">
            <x v="1"/>
          </reference>
        </references>
      </pivotArea>
    </format>
    <format dxfId="872">
      <pivotArea collapsedLevelsAreSubtotals="1" fieldPosition="0">
        <references count="1">
          <reference field="0" count="1">
            <x v="1"/>
          </reference>
        </references>
      </pivotArea>
    </format>
    <format dxfId="871">
      <pivotArea outline="0" fieldPosition="0">
        <references count="1">
          <reference field="4294967294" count="1">
            <x v="0"/>
          </reference>
        </references>
      </pivotArea>
    </format>
    <format dxfId="870">
      <pivotArea collapsedLevelsAreSubtotals="1" fieldPosition="0">
        <references count="1">
          <reference field="0" count="1">
            <x v="0"/>
          </reference>
        </references>
      </pivotArea>
    </format>
    <format dxfId="869">
      <pivotArea collapsedLevelsAreSubtotals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868">
      <pivotArea collapsedLevelsAreSubtotals="1" fieldPosition="0">
        <references count="1">
          <reference field="0" count="1">
            <x v="1"/>
          </reference>
        </references>
      </pivotArea>
    </format>
    <format dxfId="867">
      <pivotArea collapsedLevelsAreSubtotals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BECAS" fld="67" subtotal="average" baseField="0" baseItem="0" numFmtId="164"/>
  </dataFields>
  <formats count="34">
    <format dxfId="858">
      <pivotArea type="all" dataOnly="0" outline="0" fieldPosition="0"/>
    </format>
    <format dxfId="857">
      <pivotArea outline="0" collapsedLevelsAreSubtotals="1" fieldPosition="0"/>
    </format>
    <format dxfId="856">
      <pivotArea type="origin" dataOnly="0" labelOnly="1" outline="0" fieldPosition="0"/>
    </format>
    <format dxfId="855">
      <pivotArea field="5" type="button" dataOnly="0" labelOnly="1" outline="0" axis="axisCol" fieldPosition="0"/>
    </format>
    <format dxfId="854">
      <pivotArea type="topRight" dataOnly="0" labelOnly="1" outline="0" fieldPosition="0"/>
    </format>
    <format dxfId="853">
      <pivotArea field="3" type="button" dataOnly="0" labelOnly="1" outline="0" axis="axisRow" fieldPosition="1"/>
    </format>
    <format dxfId="852">
      <pivotArea dataOnly="0" labelOnly="1" fieldPosition="0">
        <references count="1">
          <reference field="3" count="0"/>
        </references>
      </pivotArea>
    </format>
    <format dxfId="851">
      <pivotArea dataOnly="0" labelOnly="1" grandRow="1" outline="0" fieldPosition="0"/>
    </format>
    <format dxfId="850">
      <pivotArea dataOnly="0" labelOnly="1" fieldPosition="0">
        <references count="1">
          <reference field="5" count="0"/>
        </references>
      </pivotArea>
    </format>
    <format dxfId="849">
      <pivotArea type="all" dataOnly="0" outline="0" fieldPosition="0"/>
    </format>
    <format dxfId="848">
      <pivotArea outline="0" collapsedLevelsAreSubtotals="1" fieldPosition="0"/>
    </format>
    <format dxfId="847">
      <pivotArea type="origin" dataOnly="0" labelOnly="1" outline="0" fieldPosition="0"/>
    </format>
    <format dxfId="846">
      <pivotArea field="5" type="button" dataOnly="0" labelOnly="1" outline="0" axis="axisCol" fieldPosition="0"/>
    </format>
    <format dxfId="845">
      <pivotArea type="topRight" dataOnly="0" labelOnly="1" outline="0" fieldPosition="0"/>
    </format>
    <format dxfId="844">
      <pivotArea field="3" type="button" dataOnly="0" labelOnly="1" outline="0" axis="axisRow" fieldPosition="1"/>
    </format>
    <format dxfId="843">
      <pivotArea dataOnly="0" labelOnly="1" fieldPosition="0">
        <references count="1">
          <reference field="3" count="0"/>
        </references>
      </pivotArea>
    </format>
    <format dxfId="842">
      <pivotArea dataOnly="0" labelOnly="1" grandRow="1" outline="0" fieldPosition="0"/>
    </format>
    <format dxfId="841">
      <pivotArea dataOnly="0" labelOnly="1" fieldPosition="0">
        <references count="1">
          <reference field="5" count="0"/>
        </references>
      </pivotArea>
    </format>
    <format dxfId="840">
      <pivotArea type="all" dataOnly="0" outline="0" fieldPosition="0"/>
    </format>
    <format dxfId="839">
      <pivotArea outline="0" collapsedLevelsAreSubtotals="1" fieldPosition="0"/>
    </format>
    <format dxfId="838">
      <pivotArea type="origin" dataOnly="0" labelOnly="1" outline="0" fieldPosition="0"/>
    </format>
    <format dxfId="837">
      <pivotArea field="5" type="button" dataOnly="0" labelOnly="1" outline="0" axis="axisCol" fieldPosition="0"/>
    </format>
    <format dxfId="836">
      <pivotArea type="topRight" dataOnly="0" labelOnly="1" outline="0" fieldPosition="0"/>
    </format>
    <format dxfId="835">
      <pivotArea field="0" type="button" dataOnly="0" labelOnly="1" outline="0" axis="axisRow" fieldPosition="0"/>
    </format>
    <format dxfId="834">
      <pivotArea dataOnly="0" labelOnly="1" fieldPosition="0">
        <references count="1">
          <reference field="0" count="0"/>
        </references>
      </pivotArea>
    </format>
    <format dxfId="833">
      <pivotArea dataOnly="0" labelOnly="1" grandRow="1" outline="0" fieldPosition="0"/>
    </format>
    <format dxfId="832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831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830">
      <pivotArea dataOnly="0" labelOnly="1" fieldPosition="0">
        <references count="1">
          <reference field="5" count="0"/>
        </references>
      </pivotArea>
    </format>
    <format dxfId="829">
      <pivotArea type="origin" dataOnly="0" labelOnly="1" outline="0" fieldPosition="0"/>
    </format>
    <format dxfId="828">
      <pivotArea collapsedLevelsAreSubtotals="1" fieldPosition="0">
        <references count="1">
          <reference field="0" count="1">
            <x v="1"/>
          </reference>
        </references>
      </pivotArea>
    </format>
    <format dxfId="827">
      <pivotArea collapsedLevelsAreSubtotals="1" fieldPosition="0">
        <references count="1">
          <reference field="0" count="1">
            <x v="1"/>
          </reference>
        </references>
      </pivotArea>
    </format>
    <format dxfId="826">
      <pivotArea collapsedLevelsAreSubtotals="1" fieldPosition="0">
        <references count="1">
          <reference field="0" count="1">
            <x v="1"/>
          </reference>
        </references>
      </pivotArea>
    </format>
    <format dxfId="82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APC" fld="68" subtotal="average" baseField="0" baseItem="0" numFmtId="3"/>
  </dataFields>
  <formats count="37">
    <format dxfId="816">
      <pivotArea type="all" dataOnly="0" outline="0" fieldPosition="0"/>
    </format>
    <format dxfId="815">
      <pivotArea outline="0" collapsedLevelsAreSubtotals="1" fieldPosition="0"/>
    </format>
    <format dxfId="814">
      <pivotArea type="origin" dataOnly="0" labelOnly="1" outline="0" fieldPosition="0"/>
    </format>
    <format dxfId="813">
      <pivotArea field="5" type="button" dataOnly="0" labelOnly="1" outline="0" axis="axisCol" fieldPosition="0"/>
    </format>
    <format dxfId="812">
      <pivotArea type="topRight" dataOnly="0" labelOnly="1" outline="0" fieldPosition="0"/>
    </format>
    <format dxfId="811">
      <pivotArea field="3" type="button" dataOnly="0" labelOnly="1" outline="0" axis="axisRow" fieldPosition="1"/>
    </format>
    <format dxfId="810">
      <pivotArea dataOnly="0" labelOnly="1" fieldPosition="0">
        <references count="1">
          <reference field="3" count="0"/>
        </references>
      </pivotArea>
    </format>
    <format dxfId="809">
      <pivotArea dataOnly="0" labelOnly="1" grandRow="1" outline="0" fieldPosition="0"/>
    </format>
    <format dxfId="808">
      <pivotArea dataOnly="0" labelOnly="1" fieldPosition="0">
        <references count="1">
          <reference field="5" count="0"/>
        </references>
      </pivotArea>
    </format>
    <format dxfId="807">
      <pivotArea type="all" dataOnly="0" outline="0" fieldPosition="0"/>
    </format>
    <format dxfId="806">
      <pivotArea outline="0" collapsedLevelsAreSubtotals="1" fieldPosition="0"/>
    </format>
    <format dxfId="805">
      <pivotArea type="origin" dataOnly="0" labelOnly="1" outline="0" fieldPosition="0"/>
    </format>
    <format dxfId="804">
      <pivotArea field="5" type="button" dataOnly="0" labelOnly="1" outline="0" axis="axisCol" fieldPosition="0"/>
    </format>
    <format dxfId="803">
      <pivotArea type="topRight" dataOnly="0" labelOnly="1" outline="0" fieldPosition="0"/>
    </format>
    <format dxfId="802">
      <pivotArea field="3" type="button" dataOnly="0" labelOnly="1" outline="0" axis="axisRow" fieldPosition="1"/>
    </format>
    <format dxfId="801">
      <pivotArea dataOnly="0" labelOnly="1" fieldPosition="0">
        <references count="1">
          <reference field="3" count="0"/>
        </references>
      </pivotArea>
    </format>
    <format dxfId="800">
      <pivotArea dataOnly="0" labelOnly="1" grandRow="1" outline="0" fieldPosition="0"/>
    </format>
    <format dxfId="799">
      <pivotArea dataOnly="0" labelOnly="1" fieldPosition="0">
        <references count="1">
          <reference field="5" count="0"/>
        </references>
      </pivotArea>
    </format>
    <format dxfId="798">
      <pivotArea type="all" dataOnly="0" outline="0" fieldPosition="0"/>
    </format>
    <format dxfId="797">
      <pivotArea outline="0" collapsedLevelsAreSubtotals="1" fieldPosition="0"/>
    </format>
    <format dxfId="796">
      <pivotArea type="origin" dataOnly="0" labelOnly="1" outline="0" fieldPosition="0"/>
    </format>
    <format dxfId="795">
      <pivotArea field="5" type="button" dataOnly="0" labelOnly="1" outline="0" axis="axisCol" fieldPosition="0"/>
    </format>
    <format dxfId="794">
      <pivotArea type="topRight" dataOnly="0" labelOnly="1" outline="0" fieldPosition="0"/>
    </format>
    <format dxfId="793">
      <pivotArea field="0" type="button" dataOnly="0" labelOnly="1" outline="0" axis="axisRow" fieldPosition="0"/>
    </format>
    <format dxfId="792">
      <pivotArea dataOnly="0" labelOnly="1" fieldPosition="0">
        <references count="1">
          <reference field="0" count="0"/>
        </references>
      </pivotArea>
    </format>
    <format dxfId="791">
      <pivotArea dataOnly="0" labelOnly="1" grandRow="1" outline="0" fieldPosition="0"/>
    </format>
    <format dxfId="790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789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788">
      <pivotArea dataOnly="0" labelOnly="1" fieldPosition="0">
        <references count="1">
          <reference field="5" count="0"/>
        </references>
      </pivotArea>
    </format>
    <format dxfId="787">
      <pivotArea type="origin" dataOnly="0" labelOnly="1" outline="0" fieldPosition="0"/>
    </format>
    <format dxfId="786">
      <pivotArea collapsedLevelsAreSubtotals="1" fieldPosition="0">
        <references count="1">
          <reference field="0" count="1">
            <x v="1"/>
          </reference>
        </references>
      </pivotArea>
    </format>
    <format dxfId="785">
      <pivotArea collapsedLevelsAreSubtotals="1" fieldPosition="0">
        <references count="1">
          <reference field="0" count="1">
            <x v="1"/>
          </reference>
        </references>
      </pivotArea>
    </format>
    <format dxfId="784">
      <pivotArea collapsedLevelsAreSubtotals="1" fieldPosition="0">
        <references count="1">
          <reference field="0" count="1">
            <x v="1"/>
          </reference>
        </references>
      </pivotArea>
    </format>
    <format dxfId="783">
      <pivotArea collapsedLevelsAreSubtotals="1" fieldPosition="0">
        <references count="1">
          <reference field="0" count="1">
            <x v="0"/>
          </reference>
        </references>
      </pivotArea>
    </format>
    <format dxfId="782">
      <pivotArea collapsedLevelsAreSubtotals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781">
      <pivotArea collapsedLevelsAreSubtotals="1" fieldPosition="0">
        <references count="1">
          <reference field="0" count="1">
            <x v="1"/>
          </reference>
        </references>
      </pivotArea>
    </format>
    <format dxfId="780">
      <pivotArea collapsedLevelsAreSubtotals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ADMPC" fld="69" baseField="0" baseItem="0"/>
  </dataFields>
  <formats count="37">
    <format dxfId="771">
      <pivotArea type="all" dataOnly="0" outline="0" fieldPosition="0"/>
    </format>
    <format dxfId="770">
      <pivotArea outline="0" collapsedLevelsAreSubtotals="1" fieldPosition="0"/>
    </format>
    <format dxfId="769">
      <pivotArea type="origin" dataOnly="0" labelOnly="1" outline="0" fieldPosition="0"/>
    </format>
    <format dxfId="768">
      <pivotArea field="5" type="button" dataOnly="0" labelOnly="1" outline="0" axis="axisCol" fieldPosition="0"/>
    </format>
    <format dxfId="767">
      <pivotArea type="topRight" dataOnly="0" labelOnly="1" outline="0" fieldPosition="0"/>
    </format>
    <format dxfId="766">
      <pivotArea field="3" type="button" dataOnly="0" labelOnly="1" outline="0" axis="axisRow" fieldPosition="1"/>
    </format>
    <format dxfId="765">
      <pivotArea dataOnly="0" labelOnly="1" fieldPosition="0">
        <references count="1">
          <reference field="3" count="0"/>
        </references>
      </pivotArea>
    </format>
    <format dxfId="764">
      <pivotArea dataOnly="0" labelOnly="1" grandRow="1" outline="0" fieldPosition="0"/>
    </format>
    <format dxfId="763">
      <pivotArea dataOnly="0" labelOnly="1" fieldPosition="0">
        <references count="1">
          <reference field="5" count="0"/>
        </references>
      </pivotArea>
    </format>
    <format dxfId="762">
      <pivotArea type="all" dataOnly="0" outline="0" fieldPosition="0"/>
    </format>
    <format dxfId="761">
      <pivotArea outline="0" collapsedLevelsAreSubtotals="1" fieldPosition="0"/>
    </format>
    <format dxfId="760">
      <pivotArea type="origin" dataOnly="0" labelOnly="1" outline="0" fieldPosition="0"/>
    </format>
    <format dxfId="759">
      <pivotArea field="5" type="button" dataOnly="0" labelOnly="1" outline="0" axis="axisCol" fieldPosition="0"/>
    </format>
    <format dxfId="758">
      <pivotArea type="topRight" dataOnly="0" labelOnly="1" outline="0" fieldPosition="0"/>
    </format>
    <format dxfId="757">
      <pivotArea field="3" type="button" dataOnly="0" labelOnly="1" outline="0" axis="axisRow" fieldPosition="1"/>
    </format>
    <format dxfId="756">
      <pivotArea dataOnly="0" labelOnly="1" fieldPosition="0">
        <references count="1">
          <reference field="3" count="0"/>
        </references>
      </pivotArea>
    </format>
    <format dxfId="755">
      <pivotArea dataOnly="0" labelOnly="1" grandRow="1" outline="0" fieldPosition="0"/>
    </format>
    <format dxfId="754">
      <pivotArea dataOnly="0" labelOnly="1" fieldPosition="0">
        <references count="1">
          <reference field="5" count="0"/>
        </references>
      </pivotArea>
    </format>
    <format dxfId="753">
      <pivotArea type="all" dataOnly="0" outline="0" fieldPosition="0"/>
    </format>
    <format dxfId="752">
      <pivotArea outline="0" collapsedLevelsAreSubtotals="1" fieldPosition="0"/>
    </format>
    <format dxfId="751">
      <pivotArea type="origin" dataOnly="0" labelOnly="1" outline="0" fieldPosition="0"/>
    </format>
    <format dxfId="750">
      <pivotArea field="5" type="button" dataOnly="0" labelOnly="1" outline="0" axis="axisCol" fieldPosition="0"/>
    </format>
    <format dxfId="749">
      <pivotArea type="topRight" dataOnly="0" labelOnly="1" outline="0" fieldPosition="0"/>
    </format>
    <format dxfId="748">
      <pivotArea field="0" type="button" dataOnly="0" labelOnly="1" outline="0" axis="axisRow" fieldPosition="0"/>
    </format>
    <format dxfId="747">
      <pivotArea dataOnly="0" labelOnly="1" fieldPosition="0">
        <references count="1">
          <reference field="0" count="0"/>
        </references>
      </pivotArea>
    </format>
    <format dxfId="746">
      <pivotArea dataOnly="0" labelOnly="1" grandRow="1" outline="0" fieldPosition="0"/>
    </format>
    <format dxfId="745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744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743">
      <pivotArea dataOnly="0" labelOnly="1" fieldPosition="0">
        <references count="1">
          <reference field="5" count="0"/>
        </references>
      </pivotArea>
    </format>
    <format dxfId="742">
      <pivotArea type="origin" dataOnly="0" labelOnly="1" outline="0" fieldPosition="0"/>
    </format>
    <format dxfId="741">
      <pivotArea collapsedLevelsAreSubtotals="1" fieldPosition="0">
        <references count="1">
          <reference field="0" count="1">
            <x v="1"/>
          </reference>
        </references>
      </pivotArea>
    </format>
    <format dxfId="740">
      <pivotArea collapsedLevelsAreSubtotals="1" fieldPosition="0">
        <references count="1">
          <reference field="0" count="1">
            <x v="1"/>
          </reference>
        </references>
      </pivotArea>
    </format>
    <format dxfId="739">
      <pivotArea collapsedLevelsAreSubtotals="1" fieldPosition="0">
        <references count="1">
          <reference field="0" count="1">
            <x v="1"/>
          </reference>
        </references>
      </pivotArea>
    </format>
    <format dxfId="738">
      <pivotArea collapsedLevelsAreSubtotals="1" fieldPosition="0">
        <references count="1">
          <reference field="0" count="1">
            <x v="0"/>
          </reference>
        </references>
      </pivotArea>
    </format>
    <format dxfId="737">
      <pivotArea collapsedLevelsAreSubtotals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736">
      <pivotArea collapsedLevelsAreSubtotals="1" fieldPosition="0">
        <references count="1">
          <reference field="0" count="1">
            <x v="1"/>
          </reference>
        </references>
      </pivotArea>
    </format>
    <format dxfId="735">
      <pivotArea collapsedLevelsAreSubtotals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capacitados" fld="34" baseField="3" baseItem="28" numFmtId="3"/>
  </dataFields>
  <formats count="80">
    <format dxfId="726">
      <pivotArea type="all" dataOnly="0" outline="0" fieldPosition="0"/>
    </format>
    <format dxfId="725">
      <pivotArea outline="0" collapsedLevelsAreSubtotals="1" fieldPosition="0"/>
    </format>
    <format dxfId="724">
      <pivotArea type="origin" dataOnly="0" labelOnly="1" outline="0" fieldPosition="0"/>
    </format>
    <format dxfId="723">
      <pivotArea field="5" type="button" dataOnly="0" labelOnly="1" outline="0" axis="axisCol" fieldPosition="0"/>
    </format>
    <format dxfId="722">
      <pivotArea type="topRight" dataOnly="0" labelOnly="1" outline="0" fieldPosition="0"/>
    </format>
    <format dxfId="721">
      <pivotArea field="3" type="button" dataOnly="0" labelOnly="1" outline="0" axis="axisRow" fieldPosition="1"/>
    </format>
    <format dxfId="720">
      <pivotArea dataOnly="0" labelOnly="1" fieldPosition="0">
        <references count="1">
          <reference field="3" count="0"/>
        </references>
      </pivotArea>
    </format>
    <format dxfId="719">
      <pivotArea dataOnly="0" labelOnly="1" grandRow="1" outline="0" fieldPosition="0"/>
    </format>
    <format dxfId="718">
      <pivotArea dataOnly="0" labelOnly="1" fieldPosition="0">
        <references count="1">
          <reference field="5" count="0"/>
        </references>
      </pivotArea>
    </format>
    <format dxfId="717">
      <pivotArea type="all" dataOnly="0" outline="0" fieldPosition="0"/>
    </format>
    <format dxfId="716">
      <pivotArea outline="0" collapsedLevelsAreSubtotals="1" fieldPosition="0"/>
    </format>
    <format dxfId="715">
      <pivotArea type="origin" dataOnly="0" labelOnly="1" outline="0" fieldPosition="0"/>
    </format>
    <format dxfId="714">
      <pivotArea field="5" type="button" dataOnly="0" labelOnly="1" outline="0" axis="axisCol" fieldPosition="0"/>
    </format>
    <format dxfId="713">
      <pivotArea type="topRight" dataOnly="0" labelOnly="1" outline="0" fieldPosition="0"/>
    </format>
    <format dxfId="712">
      <pivotArea field="3" type="button" dataOnly="0" labelOnly="1" outline="0" axis="axisRow" fieldPosition="1"/>
    </format>
    <format dxfId="711">
      <pivotArea dataOnly="0" labelOnly="1" fieldPosition="0">
        <references count="1">
          <reference field="3" count="0"/>
        </references>
      </pivotArea>
    </format>
    <format dxfId="710">
      <pivotArea dataOnly="0" labelOnly="1" grandRow="1" outline="0" fieldPosition="0"/>
    </format>
    <format dxfId="709">
      <pivotArea dataOnly="0" labelOnly="1" fieldPosition="0">
        <references count="1">
          <reference field="5" count="0"/>
        </references>
      </pivotArea>
    </format>
    <format dxfId="708">
      <pivotArea type="all" dataOnly="0" outline="0" fieldPosition="0"/>
    </format>
    <format dxfId="707">
      <pivotArea outline="0" collapsedLevelsAreSubtotals="1" fieldPosition="0"/>
    </format>
    <format dxfId="706">
      <pivotArea type="origin" dataOnly="0" labelOnly="1" outline="0" fieldPosition="0"/>
    </format>
    <format dxfId="705">
      <pivotArea field="5" type="button" dataOnly="0" labelOnly="1" outline="0" axis="axisCol" fieldPosition="0"/>
    </format>
    <format dxfId="704">
      <pivotArea type="topRight" dataOnly="0" labelOnly="1" outline="0" fieldPosition="0"/>
    </format>
    <format dxfId="703">
      <pivotArea field="0" type="button" dataOnly="0" labelOnly="1" outline="0" axis="axisRow" fieldPosition="0"/>
    </format>
    <format dxfId="702">
      <pivotArea dataOnly="0" labelOnly="1" fieldPosition="0">
        <references count="1">
          <reference field="0" count="0"/>
        </references>
      </pivotArea>
    </format>
    <format dxfId="701">
      <pivotArea dataOnly="0" labelOnly="1" grandRow="1" outline="0" fieldPosition="0"/>
    </format>
    <format dxfId="700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699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698">
      <pivotArea dataOnly="0" labelOnly="1" fieldPosition="0">
        <references count="1">
          <reference field="5" count="0"/>
        </references>
      </pivotArea>
    </format>
    <format dxfId="697">
      <pivotArea type="origin" dataOnly="0" labelOnly="1" outline="0" fieldPosition="0"/>
    </format>
    <format dxfId="696">
      <pivotArea collapsedLevelsAreSubtotals="1" fieldPosition="0">
        <references count="1">
          <reference field="0" count="1">
            <x v="1"/>
          </reference>
        </references>
      </pivotArea>
    </format>
    <format dxfId="695">
      <pivotArea collapsedLevelsAreSubtotals="1" fieldPosition="0">
        <references count="1">
          <reference field="0" count="1">
            <x v="1"/>
          </reference>
        </references>
      </pivotArea>
    </format>
    <format dxfId="694">
      <pivotArea collapsedLevelsAreSubtotals="1" fieldPosition="0">
        <references count="1">
          <reference field="0" count="1">
            <x v="1"/>
          </reference>
        </references>
      </pivotArea>
    </format>
    <format dxfId="693">
      <pivotArea dataOnly="0" labelOnly="1" fieldPosition="0">
        <references count="1">
          <reference field="5" count="1">
            <x v="0"/>
          </reference>
        </references>
      </pivotArea>
    </format>
    <format dxfId="692">
      <pivotArea collapsedLevelsAreSubtotals="1" fieldPosition="0">
        <references count="2">
          <reference field="0" count="1">
            <x v="0"/>
          </reference>
          <reference field="5" count="1" selected="0">
            <x v="0"/>
          </reference>
        </references>
      </pivotArea>
    </format>
    <format dxfId="691">
      <pivotArea collapsedLevelsAreSubtotals="1" fieldPosition="0">
        <references count="3">
          <reference field="0" count="1" selected="0">
            <x v="0"/>
          </reference>
          <reference field="3" count="1">
            <x v="0"/>
          </reference>
          <reference field="5" count="1" selected="0">
            <x v="0"/>
          </reference>
        </references>
      </pivotArea>
    </format>
    <format dxfId="690">
      <pivotArea collapsedLevelsAreSubtotals="1" fieldPosition="0">
        <references count="3">
          <reference field="0" count="1" selected="0">
            <x v="0"/>
          </reference>
          <reference field="3" count="1">
            <x v="2"/>
          </reference>
          <reference field="5" count="1" selected="0">
            <x v="0"/>
          </reference>
        </references>
      </pivotArea>
    </format>
    <format dxfId="689">
      <pivotArea collapsedLevelsAreSubtotals="1" fieldPosition="0">
        <references count="3">
          <reference field="0" count="1" selected="0">
            <x v="0"/>
          </reference>
          <reference field="3" count="1">
            <x v="4"/>
          </reference>
          <reference field="5" count="1" selected="0">
            <x v="0"/>
          </reference>
        </references>
      </pivotArea>
    </format>
    <format dxfId="688">
      <pivotArea collapsedLevelsAreSubtotals="1" fieldPosition="0">
        <references count="3">
          <reference field="0" count="1" selected="0">
            <x v="0"/>
          </reference>
          <reference field="3" count="1">
            <x v="7"/>
          </reference>
          <reference field="5" count="1" selected="0">
            <x v="0"/>
          </reference>
        </references>
      </pivotArea>
    </format>
    <format dxfId="687">
      <pivotArea collapsedLevelsAreSubtotals="1" fieldPosition="0">
        <references count="3">
          <reference field="0" count="1" selected="0">
            <x v="0"/>
          </reference>
          <reference field="3" count="1">
            <x v="9"/>
          </reference>
          <reference field="5" count="1" selected="0">
            <x v="0"/>
          </reference>
        </references>
      </pivotArea>
    </format>
    <format dxfId="686">
      <pivotArea collapsedLevelsAreSubtotals="1" fieldPosition="0">
        <references count="3">
          <reference field="0" count="1" selected="0">
            <x v="0"/>
          </reference>
          <reference field="3" count="1">
            <x v="10"/>
          </reference>
          <reference field="5" count="1" selected="0">
            <x v="0"/>
          </reference>
        </references>
      </pivotArea>
    </format>
    <format dxfId="685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5" count="1" selected="0">
            <x v="0"/>
          </reference>
        </references>
      </pivotArea>
    </format>
    <format dxfId="684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5" count="1" selected="0">
            <x v="0"/>
          </reference>
        </references>
      </pivotArea>
    </format>
    <format dxfId="683">
      <pivotArea collapsedLevelsAreSubtotals="1" fieldPosition="0">
        <references count="3">
          <reference field="0" count="1" selected="0">
            <x v="0"/>
          </reference>
          <reference field="3" count="1">
            <x v="13"/>
          </reference>
          <reference field="5" count="1" selected="0">
            <x v="0"/>
          </reference>
        </references>
      </pivotArea>
    </format>
    <format dxfId="682">
      <pivotArea collapsedLevelsAreSubtotals="1" fieldPosition="0">
        <references count="3">
          <reference field="0" count="1" selected="0">
            <x v="0"/>
          </reference>
          <reference field="3" count="1">
            <x v="15"/>
          </reference>
          <reference field="5" count="1" selected="0">
            <x v="0"/>
          </reference>
        </references>
      </pivotArea>
    </format>
    <format dxfId="681">
      <pivotArea collapsedLevelsAreSubtotals="1" fieldPosition="0">
        <references count="3">
          <reference field="0" count="1" selected="0">
            <x v="0"/>
          </reference>
          <reference field="3" count="1">
            <x v="17"/>
          </reference>
          <reference field="5" count="1" selected="0">
            <x v="0"/>
          </reference>
        </references>
      </pivotArea>
    </format>
    <format dxfId="680">
      <pivotArea collapsedLevelsAreSubtotals="1" fieldPosition="0">
        <references count="3">
          <reference field="0" count="1" selected="0">
            <x v="0"/>
          </reference>
          <reference field="3" count="1">
            <x v="20"/>
          </reference>
          <reference field="5" count="1" selected="0">
            <x v="0"/>
          </reference>
        </references>
      </pivotArea>
    </format>
    <format dxfId="679">
      <pivotArea collapsedLevelsAreSubtotals="1" fieldPosition="0">
        <references count="3">
          <reference field="0" count="1" selected="0">
            <x v="0"/>
          </reference>
          <reference field="3" count="1">
            <x v="22"/>
          </reference>
          <reference field="5" count="1" selected="0">
            <x v="0"/>
          </reference>
        </references>
      </pivotArea>
    </format>
    <format dxfId="678">
      <pivotArea collapsedLevelsAreSubtotals="1" fieldPosition="0">
        <references count="3">
          <reference field="0" count="1" selected="0">
            <x v="0"/>
          </reference>
          <reference field="3" count="1">
            <x v="24"/>
          </reference>
          <reference field="5" count="1" selected="0">
            <x v="0"/>
          </reference>
        </references>
      </pivotArea>
    </format>
    <format dxfId="677">
      <pivotArea collapsedLevelsAreSubtotals="1" fieldPosition="0">
        <references count="3">
          <reference field="0" count="1" selected="0">
            <x v="0"/>
          </reference>
          <reference field="3" count="1">
            <x v="26"/>
          </reference>
          <reference field="5" count="1" selected="0">
            <x v="0"/>
          </reference>
        </references>
      </pivotArea>
    </format>
    <format dxfId="676">
      <pivotArea collapsedLevelsAreSubtotals="1" fieldPosition="0">
        <references count="3">
          <reference field="0" count="1" selected="0">
            <x v="0"/>
          </reference>
          <reference field="3" count="1">
            <x v="28"/>
          </reference>
          <reference field="5" count="1" selected="0">
            <x v="0"/>
          </reference>
        </references>
      </pivotArea>
    </format>
    <format dxfId="675">
      <pivotArea collapsedLevelsAreSubtotals="1" fieldPosition="0">
        <references count="3">
          <reference field="0" count="1" selected="0">
            <x v="0"/>
          </reference>
          <reference field="3" count="1">
            <x v="30"/>
          </reference>
          <reference field="5" count="1" selected="0">
            <x v="0"/>
          </reference>
        </references>
      </pivotArea>
    </format>
    <format dxfId="674">
      <pivotArea collapsedLevelsAreSubtotals="1" fieldPosition="0">
        <references count="3">
          <reference field="0" count="1" selected="0">
            <x v="1"/>
          </reference>
          <reference field="3" count="1">
            <x v="19"/>
          </reference>
          <reference field="5" count="1" selected="0">
            <x v="0"/>
          </reference>
        </references>
      </pivotArea>
    </format>
    <format dxfId="673">
      <pivotArea collapsedLevelsAreSubtotals="1" fieldPosition="0">
        <references count="2">
          <reference field="0" count="1">
            <x v="2"/>
          </reference>
          <reference field="5" count="1" selected="0">
            <x v="0"/>
          </reference>
        </references>
      </pivotArea>
    </format>
    <format dxfId="672">
      <pivotArea collapsedLevelsAreSubtotals="1" fieldPosition="0">
        <references count="3">
          <reference field="0" count="1" selected="0">
            <x v="0"/>
          </reference>
          <reference field="3" count="1">
            <x v="1"/>
          </reference>
          <reference field="5" count="1" selected="0">
            <x v="0"/>
          </reference>
        </references>
      </pivotArea>
    </format>
    <format dxfId="671">
      <pivotArea collapsedLevelsAreSubtotals="1" fieldPosition="0">
        <references count="3">
          <reference field="0" count="1" selected="0">
            <x v="0"/>
          </reference>
          <reference field="3" count="1">
            <x v="3"/>
          </reference>
          <reference field="5" count="1" selected="0">
            <x v="0"/>
          </reference>
        </references>
      </pivotArea>
    </format>
    <format dxfId="670">
      <pivotArea collapsedLevelsAreSubtotals="1" fieldPosition="0">
        <references count="3">
          <reference field="0" count="1" selected="0">
            <x v="0"/>
          </reference>
          <reference field="3" count="1">
            <x v="5"/>
          </reference>
          <reference field="5" count="1" selected="0">
            <x v="0"/>
          </reference>
        </references>
      </pivotArea>
    </format>
    <format dxfId="669">
      <pivotArea collapsedLevelsAreSubtotals="1" fieldPosition="0">
        <references count="3">
          <reference field="0" count="1" selected="0">
            <x v="0"/>
          </reference>
          <reference field="3" count="1">
            <x v="8"/>
          </reference>
          <reference field="5" count="1" selected="0">
            <x v="0"/>
          </reference>
        </references>
      </pivotArea>
    </format>
    <format dxfId="668">
      <pivotArea collapsedLevelsAreSubtotals="1" fieldPosition="0">
        <references count="3">
          <reference field="0" count="1" selected="0">
            <x v="0"/>
          </reference>
          <reference field="3" count="1">
            <x v="10"/>
          </reference>
          <reference field="5" count="1" selected="0">
            <x v="0"/>
          </reference>
        </references>
      </pivotArea>
    </format>
    <format dxfId="667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5" count="1" selected="0">
            <x v="0"/>
          </reference>
        </references>
      </pivotArea>
    </format>
    <format dxfId="666">
      <pivotArea collapsedLevelsAreSubtotals="1" fieldPosition="0">
        <references count="3">
          <reference field="0" count="1" selected="0">
            <x v="0"/>
          </reference>
          <reference field="3" count="1">
            <x v="14"/>
          </reference>
          <reference field="5" count="1" selected="0">
            <x v="0"/>
          </reference>
        </references>
      </pivotArea>
    </format>
    <format dxfId="665">
      <pivotArea collapsedLevelsAreSubtotals="1" fieldPosition="0">
        <references count="3">
          <reference field="0" count="1" selected="0">
            <x v="0"/>
          </reference>
          <reference field="3" count="1">
            <x v="16"/>
          </reference>
          <reference field="5" count="1" selected="0">
            <x v="0"/>
          </reference>
        </references>
      </pivotArea>
    </format>
    <format dxfId="664">
      <pivotArea collapsedLevelsAreSubtotals="1" fieldPosition="0">
        <references count="3">
          <reference field="0" count="1" selected="0">
            <x v="0"/>
          </reference>
          <reference field="3" count="1">
            <x v="18"/>
          </reference>
          <reference field="5" count="1" selected="0">
            <x v="0"/>
          </reference>
        </references>
      </pivotArea>
    </format>
    <format dxfId="663">
      <pivotArea collapsedLevelsAreSubtotals="1" fieldPosition="0">
        <references count="3">
          <reference field="0" count="1" selected="0">
            <x v="0"/>
          </reference>
          <reference field="3" count="1">
            <x v="21"/>
          </reference>
          <reference field="5" count="1" selected="0">
            <x v="0"/>
          </reference>
        </references>
      </pivotArea>
    </format>
    <format dxfId="662">
      <pivotArea collapsedLevelsAreSubtotals="1" fieldPosition="0">
        <references count="3">
          <reference field="0" count="1" selected="0">
            <x v="0"/>
          </reference>
          <reference field="3" count="1">
            <x v="23"/>
          </reference>
          <reference field="5" count="1" selected="0">
            <x v="0"/>
          </reference>
        </references>
      </pivotArea>
    </format>
    <format dxfId="661">
      <pivotArea collapsedLevelsAreSubtotals="1" fieldPosition="0">
        <references count="3">
          <reference field="0" count="1" selected="0">
            <x v="0"/>
          </reference>
          <reference field="3" count="1">
            <x v="25"/>
          </reference>
          <reference field="5" count="1" selected="0">
            <x v="0"/>
          </reference>
        </references>
      </pivotArea>
    </format>
    <format dxfId="660">
      <pivotArea collapsedLevelsAreSubtotals="1" fieldPosition="0">
        <references count="3">
          <reference field="0" count="1" selected="0">
            <x v="0"/>
          </reference>
          <reference field="3" count="1">
            <x v="27"/>
          </reference>
          <reference field="5" count="1" selected="0">
            <x v="0"/>
          </reference>
        </references>
      </pivotArea>
    </format>
    <format dxfId="659">
      <pivotArea collapsedLevelsAreSubtotals="1" fieldPosition="0">
        <references count="3">
          <reference field="0" count="1" selected="0">
            <x v="0"/>
          </reference>
          <reference field="3" count="1">
            <x v="29"/>
          </reference>
          <reference field="5" count="1" selected="0">
            <x v="0"/>
          </reference>
        </references>
      </pivotArea>
    </format>
    <format dxfId="658">
      <pivotArea collapsedLevelsAreSubtotals="1" fieldPosition="0">
        <references count="3">
          <reference field="0" count="1" selected="0">
            <x v="0"/>
          </reference>
          <reference field="3" count="1">
            <x v="31"/>
          </reference>
          <reference field="5" count="1" selected="0">
            <x v="0"/>
          </reference>
        </references>
      </pivotArea>
    </format>
    <format dxfId="657">
      <pivotArea collapsedLevelsAreSubtotals="1" fieldPosition="0">
        <references count="3">
          <reference field="0" count="1" selected="0">
            <x v="1"/>
          </reference>
          <reference field="3" count="1">
            <x v="6"/>
          </reference>
          <reference field="5" count="1" selected="0">
            <x v="0"/>
          </reference>
        </references>
      </pivotArea>
    </format>
    <format dxfId="656">
      <pivotArea collapsedLevelsAreSubtotals="1" fieldPosition="0">
        <references count="3">
          <reference field="0" count="1" selected="0">
            <x v="1"/>
          </reference>
          <reference field="3" count="1">
            <x v="33"/>
          </reference>
          <reference field="5" count="1" selected="0">
            <x v="0"/>
          </reference>
        </references>
      </pivotArea>
    </format>
    <format dxfId="655">
      <pivotArea collapsedLevelsAreSubtotals="1" fieldPosition="0">
        <references count="3">
          <reference field="0" count="1" selected="0">
            <x v="2"/>
          </reference>
          <reference field="3" count="1">
            <x v="32"/>
          </reference>
          <reference field="5" count="1" selected="0">
            <x v="0"/>
          </reference>
        </references>
      </pivotArea>
    </format>
    <format dxfId="654">
      <pivotArea collapsedLevelsAreSubtotals="1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  <format dxfId="653">
      <pivotArea collapsedLevelsAreSubtotals="1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  <format dxfId="652">
      <pivotArea outline="0" fieldPosition="0">
        <references count="1">
          <reference field="4294967294" count="1">
            <x v="0"/>
          </reference>
        </references>
      </pivotArea>
    </format>
    <format dxfId="651">
      <pivotArea collapsedLevelsAreSubtotals="1" fieldPosition="0">
        <references count="2">
          <reference field="0" count="1">
            <x v="0"/>
          </reference>
          <reference field="5" count="1" selected="0">
            <x v="0"/>
          </reference>
        </references>
      </pivotArea>
    </format>
    <format dxfId="650">
      <pivotArea collapsedLevelsAreSubtotals="1" fieldPosition="0">
        <references count="3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5" count="1" selected="0">
            <x v="0"/>
          </reference>
        </references>
      </pivotArea>
    </format>
    <format dxfId="649">
      <pivotArea collapsedLevelsAreSubtotals="1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  <format dxfId="648">
      <pivotArea collapsedLevelsAreSubtotals="1" fieldPosition="0">
        <references count="3">
          <reference field="0" count="1" selected="0">
            <x v="1"/>
          </reference>
          <reference field="3" count="3">
            <x v="6"/>
            <x v="19"/>
            <x v="33"/>
          </reference>
          <reference field="5" count="1" selected="0">
            <x v="0"/>
          </reference>
        </references>
      </pivotArea>
    </format>
    <format dxfId="647">
      <pivotArea dataOnly="0" labelOnly="1" fieldPosition="0">
        <references count="1">
          <reference field="5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servtec" fld="39" baseField="3" baseItem="1" numFmtId="3"/>
  </dataFields>
  <formats count="34">
    <format dxfId="638">
      <pivotArea type="all" dataOnly="0" outline="0" fieldPosition="0"/>
    </format>
    <format dxfId="637">
      <pivotArea outline="0" collapsedLevelsAreSubtotals="1" fieldPosition="0"/>
    </format>
    <format dxfId="636">
      <pivotArea type="origin" dataOnly="0" labelOnly="1" outline="0" fieldPosition="0"/>
    </format>
    <format dxfId="635">
      <pivotArea field="5" type="button" dataOnly="0" labelOnly="1" outline="0" axis="axisCol" fieldPosition="0"/>
    </format>
    <format dxfId="634">
      <pivotArea type="topRight" dataOnly="0" labelOnly="1" outline="0" fieldPosition="0"/>
    </format>
    <format dxfId="633">
      <pivotArea field="3" type="button" dataOnly="0" labelOnly="1" outline="0" axis="axisRow" fieldPosition="1"/>
    </format>
    <format dxfId="632">
      <pivotArea dataOnly="0" labelOnly="1" fieldPosition="0">
        <references count="1">
          <reference field="3" count="0"/>
        </references>
      </pivotArea>
    </format>
    <format dxfId="631">
      <pivotArea dataOnly="0" labelOnly="1" grandRow="1" outline="0" fieldPosition="0"/>
    </format>
    <format dxfId="630">
      <pivotArea dataOnly="0" labelOnly="1" fieldPosition="0">
        <references count="1">
          <reference field="5" count="0"/>
        </references>
      </pivotArea>
    </format>
    <format dxfId="629">
      <pivotArea type="all" dataOnly="0" outline="0" fieldPosition="0"/>
    </format>
    <format dxfId="628">
      <pivotArea outline="0" collapsedLevelsAreSubtotals="1" fieldPosition="0"/>
    </format>
    <format dxfId="627">
      <pivotArea type="origin" dataOnly="0" labelOnly="1" outline="0" fieldPosition="0"/>
    </format>
    <format dxfId="626">
      <pivotArea field="5" type="button" dataOnly="0" labelOnly="1" outline="0" axis="axisCol" fieldPosition="0"/>
    </format>
    <format dxfId="625">
      <pivotArea type="topRight" dataOnly="0" labelOnly="1" outline="0" fieldPosition="0"/>
    </format>
    <format dxfId="624">
      <pivotArea field="3" type="button" dataOnly="0" labelOnly="1" outline="0" axis="axisRow" fieldPosition="1"/>
    </format>
    <format dxfId="623">
      <pivotArea dataOnly="0" labelOnly="1" fieldPosition="0">
        <references count="1">
          <reference field="3" count="0"/>
        </references>
      </pivotArea>
    </format>
    <format dxfId="622">
      <pivotArea dataOnly="0" labelOnly="1" grandRow="1" outline="0" fieldPosition="0"/>
    </format>
    <format dxfId="621">
      <pivotArea dataOnly="0" labelOnly="1" fieldPosition="0">
        <references count="1">
          <reference field="5" count="0"/>
        </references>
      </pivotArea>
    </format>
    <format dxfId="620">
      <pivotArea type="all" dataOnly="0" outline="0" fieldPosition="0"/>
    </format>
    <format dxfId="619">
      <pivotArea outline="0" collapsedLevelsAreSubtotals="1" fieldPosition="0"/>
    </format>
    <format dxfId="618">
      <pivotArea type="origin" dataOnly="0" labelOnly="1" outline="0" fieldPosition="0"/>
    </format>
    <format dxfId="617">
      <pivotArea field="5" type="button" dataOnly="0" labelOnly="1" outline="0" axis="axisCol" fieldPosition="0"/>
    </format>
    <format dxfId="616">
      <pivotArea type="topRight" dataOnly="0" labelOnly="1" outline="0" fieldPosition="0"/>
    </format>
    <format dxfId="615">
      <pivotArea field="0" type="button" dataOnly="0" labelOnly="1" outline="0" axis="axisRow" fieldPosition="0"/>
    </format>
    <format dxfId="614">
      <pivotArea dataOnly="0" labelOnly="1" fieldPosition="0">
        <references count="1">
          <reference field="0" count="0"/>
        </references>
      </pivotArea>
    </format>
    <format dxfId="613">
      <pivotArea dataOnly="0" labelOnly="1" grandRow="1" outline="0" fieldPosition="0"/>
    </format>
    <format dxfId="612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611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610">
      <pivotArea dataOnly="0" labelOnly="1" fieldPosition="0">
        <references count="1">
          <reference field="5" count="0"/>
        </references>
      </pivotArea>
    </format>
    <format dxfId="609">
      <pivotArea type="origin" dataOnly="0" labelOnly="1" outline="0" fieldPosition="0"/>
    </format>
    <format dxfId="608">
      <pivotArea collapsedLevelsAreSubtotals="1" fieldPosition="0">
        <references count="1">
          <reference field="0" count="1">
            <x v="1"/>
          </reference>
        </references>
      </pivotArea>
    </format>
    <format dxfId="607">
      <pivotArea collapsedLevelsAreSubtotals="1" fieldPosition="0">
        <references count="1">
          <reference field="0" count="1">
            <x v="1"/>
          </reference>
        </references>
      </pivotArea>
    </format>
    <format dxfId="606">
      <pivotArea collapsedLevelsAreSubtotals="1" fieldPosition="0">
        <references count="1">
          <reference field="0" count="1">
            <x v="1"/>
          </reference>
        </references>
      </pivotArea>
    </format>
    <format dxfId="60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certificacion" fld="38" baseField="3" baseItem="28" numFmtId="3"/>
  </dataFields>
  <formats count="75">
    <format dxfId="596">
      <pivotArea type="all" dataOnly="0" outline="0" fieldPosition="0"/>
    </format>
    <format dxfId="595">
      <pivotArea outline="0" collapsedLevelsAreSubtotals="1" fieldPosition="0"/>
    </format>
    <format dxfId="594">
      <pivotArea type="origin" dataOnly="0" labelOnly="1" outline="0" fieldPosition="0"/>
    </format>
    <format dxfId="593">
      <pivotArea field="5" type="button" dataOnly="0" labelOnly="1" outline="0" axis="axisCol" fieldPosition="0"/>
    </format>
    <format dxfId="592">
      <pivotArea type="topRight" dataOnly="0" labelOnly="1" outline="0" fieldPosition="0"/>
    </format>
    <format dxfId="591">
      <pivotArea field="3" type="button" dataOnly="0" labelOnly="1" outline="0" axis="axisRow" fieldPosition="1"/>
    </format>
    <format dxfId="590">
      <pivotArea dataOnly="0" labelOnly="1" fieldPosition="0">
        <references count="1">
          <reference field="3" count="0"/>
        </references>
      </pivotArea>
    </format>
    <format dxfId="589">
      <pivotArea dataOnly="0" labelOnly="1" grandRow="1" outline="0" fieldPosition="0"/>
    </format>
    <format dxfId="588">
      <pivotArea dataOnly="0" labelOnly="1" fieldPosition="0">
        <references count="1">
          <reference field="5" count="0"/>
        </references>
      </pivotArea>
    </format>
    <format dxfId="587">
      <pivotArea type="all" dataOnly="0" outline="0" fieldPosition="0"/>
    </format>
    <format dxfId="586">
      <pivotArea outline="0" collapsedLevelsAreSubtotals="1" fieldPosition="0"/>
    </format>
    <format dxfId="585">
      <pivotArea type="origin" dataOnly="0" labelOnly="1" outline="0" fieldPosition="0"/>
    </format>
    <format dxfId="584">
      <pivotArea field="5" type="button" dataOnly="0" labelOnly="1" outline="0" axis="axisCol" fieldPosition="0"/>
    </format>
    <format dxfId="583">
      <pivotArea type="topRight" dataOnly="0" labelOnly="1" outline="0" fieldPosition="0"/>
    </format>
    <format dxfId="582">
      <pivotArea field="3" type="button" dataOnly="0" labelOnly="1" outline="0" axis="axisRow" fieldPosition="1"/>
    </format>
    <format dxfId="581">
      <pivotArea dataOnly="0" labelOnly="1" fieldPosition="0">
        <references count="1">
          <reference field="3" count="0"/>
        </references>
      </pivotArea>
    </format>
    <format dxfId="580">
      <pivotArea dataOnly="0" labelOnly="1" grandRow="1" outline="0" fieldPosition="0"/>
    </format>
    <format dxfId="579">
      <pivotArea dataOnly="0" labelOnly="1" fieldPosition="0">
        <references count="1">
          <reference field="5" count="0"/>
        </references>
      </pivotArea>
    </format>
    <format dxfId="578">
      <pivotArea type="all" dataOnly="0" outline="0" fieldPosition="0"/>
    </format>
    <format dxfId="577">
      <pivotArea outline="0" collapsedLevelsAreSubtotals="1" fieldPosition="0"/>
    </format>
    <format dxfId="576">
      <pivotArea type="origin" dataOnly="0" labelOnly="1" outline="0" fieldPosition="0"/>
    </format>
    <format dxfId="575">
      <pivotArea field="5" type="button" dataOnly="0" labelOnly="1" outline="0" axis="axisCol" fieldPosition="0"/>
    </format>
    <format dxfId="574">
      <pivotArea type="topRight" dataOnly="0" labelOnly="1" outline="0" fieldPosition="0"/>
    </format>
    <format dxfId="573">
      <pivotArea field="0" type="button" dataOnly="0" labelOnly="1" outline="0" axis="axisRow" fieldPosition="0"/>
    </format>
    <format dxfId="572">
      <pivotArea dataOnly="0" labelOnly="1" fieldPosition="0">
        <references count="1">
          <reference field="0" count="0"/>
        </references>
      </pivotArea>
    </format>
    <format dxfId="571">
      <pivotArea dataOnly="0" labelOnly="1" grandRow="1" outline="0" fieldPosition="0"/>
    </format>
    <format dxfId="570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569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568">
      <pivotArea dataOnly="0" labelOnly="1" fieldPosition="0">
        <references count="1">
          <reference field="5" count="0"/>
        </references>
      </pivotArea>
    </format>
    <format dxfId="567">
      <pivotArea type="origin" dataOnly="0" labelOnly="1" outline="0" fieldPosition="0"/>
    </format>
    <format dxfId="566">
      <pivotArea collapsedLevelsAreSubtotals="1" fieldPosition="0">
        <references count="1">
          <reference field="0" count="1">
            <x v="1"/>
          </reference>
        </references>
      </pivotArea>
    </format>
    <format dxfId="565">
      <pivotArea collapsedLevelsAreSubtotals="1" fieldPosition="0">
        <references count="1">
          <reference field="0" count="1">
            <x v="1"/>
          </reference>
        </references>
      </pivotArea>
    </format>
    <format dxfId="564">
      <pivotArea collapsedLevelsAreSubtotals="1" fieldPosition="0">
        <references count="1">
          <reference field="0" count="1">
            <x v="1"/>
          </reference>
        </references>
      </pivotArea>
    </format>
    <format dxfId="563">
      <pivotArea outline="0" fieldPosition="0">
        <references count="1">
          <reference field="4294967294" count="1">
            <x v="0"/>
          </reference>
        </references>
      </pivotArea>
    </format>
    <format dxfId="562">
      <pivotArea dataOnly="0" labelOnly="1" fieldPosition="0">
        <references count="1">
          <reference field="5" count="1">
            <x v="0"/>
          </reference>
        </references>
      </pivotArea>
    </format>
    <format dxfId="561">
      <pivotArea collapsedLevelsAreSubtotals="1" fieldPosition="0">
        <references count="2">
          <reference field="0" count="1">
            <x v="0"/>
          </reference>
          <reference field="5" count="1" selected="0">
            <x v="0"/>
          </reference>
        </references>
      </pivotArea>
    </format>
    <format dxfId="560">
      <pivotArea collapsedLevelsAreSubtotals="1" fieldPosition="0">
        <references count="3">
          <reference field="0" count="1" selected="0">
            <x v="0"/>
          </reference>
          <reference field="3" count="1">
            <x v="0"/>
          </reference>
          <reference field="5" count="1" selected="0">
            <x v="0"/>
          </reference>
        </references>
      </pivotArea>
    </format>
    <format dxfId="559">
      <pivotArea collapsedLevelsAreSubtotals="1" fieldPosition="0">
        <references count="3">
          <reference field="0" count="1" selected="0">
            <x v="0"/>
          </reference>
          <reference field="3" count="1">
            <x v="2"/>
          </reference>
          <reference field="5" count="1" selected="0">
            <x v="0"/>
          </reference>
        </references>
      </pivotArea>
    </format>
    <format dxfId="558">
      <pivotArea collapsedLevelsAreSubtotals="1" fieldPosition="0">
        <references count="3">
          <reference field="0" count="1" selected="0">
            <x v="0"/>
          </reference>
          <reference field="3" count="1">
            <x v="4"/>
          </reference>
          <reference field="5" count="1" selected="0">
            <x v="0"/>
          </reference>
        </references>
      </pivotArea>
    </format>
    <format dxfId="557">
      <pivotArea collapsedLevelsAreSubtotals="1" fieldPosition="0">
        <references count="3">
          <reference field="0" count="1" selected="0">
            <x v="0"/>
          </reference>
          <reference field="3" count="1">
            <x v="7"/>
          </reference>
          <reference field="5" count="1" selected="0">
            <x v="0"/>
          </reference>
        </references>
      </pivotArea>
    </format>
    <format dxfId="556">
      <pivotArea collapsedLevelsAreSubtotals="1" fieldPosition="0">
        <references count="3">
          <reference field="0" count="1" selected="0">
            <x v="0"/>
          </reference>
          <reference field="3" count="1">
            <x v="9"/>
          </reference>
          <reference field="5" count="1" selected="0">
            <x v="0"/>
          </reference>
        </references>
      </pivotArea>
    </format>
    <format dxfId="555">
      <pivotArea collapsedLevelsAreSubtotals="1" fieldPosition="0">
        <references count="3">
          <reference field="0" count="1" selected="0">
            <x v="0"/>
          </reference>
          <reference field="3" count="1">
            <x v="10"/>
          </reference>
          <reference field="5" count="1" selected="0">
            <x v="0"/>
          </reference>
        </references>
      </pivotArea>
    </format>
    <format dxfId="554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5" count="1" selected="0">
            <x v="0"/>
          </reference>
        </references>
      </pivotArea>
    </format>
    <format dxfId="553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5" count="1" selected="0">
            <x v="0"/>
          </reference>
        </references>
      </pivotArea>
    </format>
    <format dxfId="552">
      <pivotArea collapsedLevelsAreSubtotals="1" fieldPosition="0">
        <references count="3">
          <reference field="0" count="1" selected="0">
            <x v="0"/>
          </reference>
          <reference field="3" count="1">
            <x v="13"/>
          </reference>
          <reference field="5" count="1" selected="0">
            <x v="0"/>
          </reference>
        </references>
      </pivotArea>
    </format>
    <format dxfId="551">
      <pivotArea collapsedLevelsAreSubtotals="1" fieldPosition="0">
        <references count="3">
          <reference field="0" count="1" selected="0">
            <x v="0"/>
          </reference>
          <reference field="3" count="1">
            <x v="15"/>
          </reference>
          <reference field="5" count="1" selected="0">
            <x v="0"/>
          </reference>
        </references>
      </pivotArea>
    </format>
    <format dxfId="550">
      <pivotArea collapsedLevelsAreSubtotals="1" fieldPosition="0">
        <references count="3">
          <reference field="0" count="1" selected="0">
            <x v="0"/>
          </reference>
          <reference field="3" count="1">
            <x v="17"/>
          </reference>
          <reference field="5" count="1" selected="0">
            <x v="0"/>
          </reference>
        </references>
      </pivotArea>
    </format>
    <format dxfId="549">
      <pivotArea collapsedLevelsAreSubtotals="1" fieldPosition="0">
        <references count="3">
          <reference field="0" count="1" selected="0">
            <x v="0"/>
          </reference>
          <reference field="3" count="1">
            <x v="20"/>
          </reference>
          <reference field="5" count="1" selected="0">
            <x v="0"/>
          </reference>
        </references>
      </pivotArea>
    </format>
    <format dxfId="548">
      <pivotArea collapsedLevelsAreSubtotals="1" fieldPosition="0">
        <references count="3">
          <reference field="0" count="1" selected="0">
            <x v="0"/>
          </reference>
          <reference field="3" count="1">
            <x v="22"/>
          </reference>
          <reference field="5" count="1" selected="0">
            <x v="0"/>
          </reference>
        </references>
      </pivotArea>
    </format>
    <format dxfId="547">
      <pivotArea collapsedLevelsAreSubtotals="1" fieldPosition="0">
        <references count="3">
          <reference field="0" count="1" selected="0">
            <x v="0"/>
          </reference>
          <reference field="3" count="1">
            <x v="24"/>
          </reference>
          <reference field="5" count="1" selected="0">
            <x v="0"/>
          </reference>
        </references>
      </pivotArea>
    </format>
    <format dxfId="546">
      <pivotArea collapsedLevelsAreSubtotals="1" fieldPosition="0">
        <references count="3">
          <reference field="0" count="1" selected="0">
            <x v="0"/>
          </reference>
          <reference field="3" count="1">
            <x v="26"/>
          </reference>
          <reference field="5" count="1" selected="0">
            <x v="0"/>
          </reference>
        </references>
      </pivotArea>
    </format>
    <format dxfId="545">
      <pivotArea collapsedLevelsAreSubtotals="1" fieldPosition="0">
        <references count="3">
          <reference field="0" count="1" selected="0">
            <x v="0"/>
          </reference>
          <reference field="3" count="1">
            <x v="28"/>
          </reference>
          <reference field="5" count="1" selected="0">
            <x v="0"/>
          </reference>
        </references>
      </pivotArea>
    </format>
    <format dxfId="544">
      <pivotArea collapsedLevelsAreSubtotals="1" fieldPosition="0">
        <references count="3">
          <reference field="0" count="1" selected="0">
            <x v="0"/>
          </reference>
          <reference field="3" count="1">
            <x v="30"/>
          </reference>
          <reference field="5" count="1" selected="0">
            <x v="0"/>
          </reference>
        </references>
      </pivotArea>
    </format>
    <format dxfId="543">
      <pivotArea collapsedLevelsAreSubtotals="1" fieldPosition="0">
        <references count="3">
          <reference field="0" count="1" selected="0">
            <x v="1"/>
          </reference>
          <reference field="3" count="1">
            <x v="19"/>
          </reference>
          <reference field="5" count="1" selected="0">
            <x v="0"/>
          </reference>
        </references>
      </pivotArea>
    </format>
    <format dxfId="542">
      <pivotArea collapsedLevelsAreSubtotals="1" fieldPosition="0">
        <references count="2">
          <reference field="0" count="1">
            <x v="2"/>
          </reference>
          <reference field="5" count="1" selected="0">
            <x v="0"/>
          </reference>
        </references>
      </pivotArea>
    </format>
    <format dxfId="541">
      <pivotArea collapsedLevelsAreSubtotals="1" fieldPosition="0">
        <references count="3">
          <reference field="0" count="1" selected="0">
            <x v="0"/>
          </reference>
          <reference field="3" count="1">
            <x v="1"/>
          </reference>
          <reference field="5" count="1" selected="0">
            <x v="0"/>
          </reference>
        </references>
      </pivotArea>
    </format>
    <format dxfId="540">
      <pivotArea collapsedLevelsAreSubtotals="1" fieldPosition="0">
        <references count="3">
          <reference field="0" count="1" selected="0">
            <x v="0"/>
          </reference>
          <reference field="3" count="1">
            <x v="3"/>
          </reference>
          <reference field="5" count="1" selected="0">
            <x v="0"/>
          </reference>
        </references>
      </pivotArea>
    </format>
    <format dxfId="539">
      <pivotArea collapsedLevelsAreSubtotals="1" fieldPosition="0">
        <references count="3">
          <reference field="0" count="1" selected="0">
            <x v="0"/>
          </reference>
          <reference field="3" count="1">
            <x v="5"/>
          </reference>
          <reference field="5" count="1" selected="0">
            <x v="0"/>
          </reference>
        </references>
      </pivotArea>
    </format>
    <format dxfId="538">
      <pivotArea collapsedLevelsAreSubtotals="1" fieldPosition="0">
        <references count="3">
          <reference field="0" count="1" selected="0">
            <x v="0"/>
          </reference>
          <reference field="3" count="1">
            <x v="8"/>
          </reference>
          <reference field="5" count="1" selected="0">
            <x v="0"/>
          </reference>
        </references>
      </pivotArea>
    </format>
    <format dxfId="537">
      <pivotArea collapsedLevelsAreSubtotals="1" fieldPosition="0">
        <references count="3">
          <reference field="0" count="1" selected="0">
            <x v="0"/>
          </reference>
          <reference field="3" count="1">
            <x v="10"/>
          </reference>
          <reference field="5" count="1" selected="0">
            <x v="0"/>
          </reference>
        </references>
      </pivotArea>
    </format>
    <format dxfId="536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5" count="1" selected="0">
            <x v="0"/>
          </reference>
        </references>
      </pivotArea>
    </format>
    <format dxfId="535">
      <pivotArea collapsedLevelsAreSubtotals="1" fieldPosition="0">
        <references count="3">
          <reference field="0" count="1" selected="0">
            <x v="0"/>
          </reference>
          <reference field="3" count="1">
            <x v="14"/>
          </reference>
          <reference field="5" count="1" selected="0">
            <x v="0"/>
          </reference>
        </references>
      </pivotArea>
    </format>
    <format dxfId="534">
      <pivotArea collapsedLevelsAreSubtotals="1" fieldPosition="0">
        <references count="3">
          <reference field="0" count="1" selected="0">
            <x v="0"/>
          </reference>
          <reference field="3" count="1">
            <x v="16"/>
          </reference>
          <reference field="5" count="1" selected="0">
            <x v="0"/>
          </reference>
        </references>
      </pivotArea>
    </format>
    <format dxfId="533">
      <pivotArea collapsedLevelsAreSubtotals="1" fieldPosition="0">
        <references count="3">
          <reference field="0" count="1" selected="0">
            <x v="0"/>
          </reference>
          <reference field="3" count="1">
            <x v="18"/>
          </reference>
          <reference field="5" count="1" selected="0">
            <x v="0"/>
          </reference>
        </references>
      </pivotArea>
    </format>
    <format dxfId="532">
      <pivotArea collapsedLevelsAreSubtotals="1" fieldPosition="0">
        <references count="3">
          <reference field="0" count="1" selected="0">
            <x v="0"/>
          </reference>
          <reference field="3" count="1">
            <x v="21"/>
          </reference>
          <reference field="5" count="1" selected="0">
            <x v="0"/>
          </reference>
        </references>
      </pivotArea>
    </format>
    <format dxfId="531">
      <pivotArea collapsedLevelsAreSubtotals="1" fieldPosition="0">
        <references count="3">
          <reference field="0" count="1" selected="0">
            <x v="0"/>
          </reference>
          <reference field="3" count="1">
            <x v="23"/>
          </reference>
          <reference field="5" count="1" selected="0">
            <x v="0"/>
          </reference>
        </references>
      </pivotArea>
    </format>
    <format dxfId="530">
      <pivotArea collapsedLevelsAreSubtotals="1" fieldPosition="0">
        <references count="3">
          <reference field="0" count="1" selected="0">
            <x v="0"/>
          </reference>
          <reference field="3" count="1">
            <x v="25"/>
          </reference>
          <reference field="5" count="1" selected="0">
            <x v="0"/>
          </reference>
        </references>
      </pivotArea>
    </format>
    <format dxfId="529">
      <pivotArea collapsedLevelsAreSubtotals="1" fieldPosition="0">
        <references count="3">
          <reference field="0" count="1" selected="0">
            <x v="0"/>
          </reference>
          <reference field="3" count="1">
            <x v="27"/>
          </reference>
          <reference field="5" count="1" selected="0">
            <x v="0"/>
          </reference>
        </references>
      </pivotArea>
    </format>
    <format dxfId="528">
      <pivotArea collapsedLevelsAreSubtotals="1" fieldPosition="0">
        <references count="3">
          <reference field="0" count="1" selected="0">
            <x v="0"/>
          </reference>
          <reference field="3" count="1">
            <x v="29"/>
          </reference>
          <reference field="5" count="1" selected="0">
            <x v="0"/>
          </reference>
        </references>
      </pivotArea>
    </format>
    <format dxfId="527">
      <pivotArea collapsedLevelsAreSubtotals="1" fieldPosition="0">
        <references count="3">
          <reference field="0" count="1" selected="0">
            <x v="0"/>
          </reference>
          <reference field="3" count="1">
            <x v="31"/>
          </reference>
          <reference field="5" count="1" selected="0">
            <x v="0"/>
          </reference>
        </references>
      </pivotArea>
    </format>
    <format dxfId="526">
      <pivotArea collapsedLevelsAreSubtotals="1" fieldPosition="0">
        <references count="3">
          <reference field="0" count="1" selected="0">
            <x v="1"/>
          </reference>
          <reference field="3" count="1">
            <x v="6"/>
          </reference>
          <reference field="5" count="1" selected="0">
            <x v="0"/>
          </reference>
        </references>
      </pivotArea>
    </format>
    <format dxfId="525">
      <pivotArea collapsedLevelsAreSubtotals="1" fieldPosition="0">
        <references count="3">
          <reference field="0" count="1" selected="0">
            <x v="1"/>
          </reference>
          <reference field="3" count="1">
            <x v="33"/>
          </reference>
          <reference field="5" count="1" selected="0">
            <x v="0"/>
          </reference>
        </references>
      </pivotArea>
    </format>
    <format dxfId="524">
      <pivotArea collapsedLevelsAreSubtotals="1" fieldPosition="0">
        <references count="3">
          <reference field="0" count="1" selected="0">
            <x v="2"/>
          </reference>
          <reference field="3" count="1">
            <x v="32"/>
          </reference>
          <reference field="5" count="1" selected="0">
            <x v="0"/>
          </reference>
        </references>
      </pivotArea>
    </format>
    <format dxfId="523">
      <pivotArea collapsedLevelsAreSubtotals="1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  <format dxfId="522">
      <pivotArea collapsedLevelsAreSubtotals="1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COB" fld="58" subtotal="average" baseField="3" baseItem="5" numFmtId="4"/>
  </dataFields>
  <formats count="34">
    <format dxfId="1368">
      <pivotArea type="all" dataOnly="0" outline="0" fieldPosition="0"/>
    </format>
    <format dxfId="1367">
      <pivotArea outline="0" collapsedLevelsAreSubtotals="1" fieldPosition="0"/>
    </format>
    <format dxfId="1366">
      <pivotArea type="origin" dataOnly="0" labelOnly="1" outline="0" fieldPosition="0"/>
    </format>
    <format dxfId="1365">
      <pivotArea field="5" type="button" dataOnly="0" labelOnly="1" outline="0" axis="axisCol" fieldPosition="0"/>
    </format>
    <format dxfId="1364">
      <pivotArea type="topRight" dataOnly="0" labelOnly="1" outline="0" fieldPosition="0"/>
    </format>
    <format dxfId="1363">
      <pivotArea field="3" type="button" dataOnly="0" labelOnly="1" outline="0" axis="axisRow" fieldPosition="1"/>
    </format>
    <format dxfId="1362">
      <pivotArea dataOnly="0" labelOnly="1" fieldPosition="0">
        <references count="1">
          <reference field="3" count="0"/>
        </references>
      </pivotArea>
    </format>
    <format dxfId="1361">
      <pivotArea dataOnly="0" labelOnly="1" grandRow="1" outline="0" fieldPosition="0"/>
    </format>
    <format dxfId="1360">
      <pivotArea dataOnly="0" labelOnly="1" fieldPosition="0">
        <references count="1">
          <reference field="5" count="0"/>
        </references>
      </pivotArea>
    </format>
    <format dxfId="1359">
      <pivotArea type="all" dataOnly="0" outline="0" fieldPosition="0"/>
    </format>
    <format dxfId="1358">
      <pivotArea outline="0" collapsedLevelsAreSubtotals="1" fieldPosition="0"/>
    </format>
    <format dxfId="1357">
      <pivotArea type="origin" dataOnly="0" labelOnly="1" outline="0" fieldPosition="0"/>
    </format>
    <format dxfId="1356">
      <pivotArea field="5" type="button" dataOnly="0" labelOnly="1" outline="0" axis="axisCol" fieldPosition="0"/>
    </format>
    <format dxfId="1355">
      <pivotArea type="topRight" dataOnly="0" labelOnly="1" outline="0" fieldPosition="0"/>
    </format>
    <format dxfId="1354">
      <pivotArea field="3" type="button" dataOnly="0" labelOnly="1" outline="0" axis="axisRow" fieldPosition="1"/>
    </format>
    <format dxfId="1353">
      <pivotArea dataOnly="0" labelOnly="1" fieldPosition="0">
        <references count="1">
          <reference field="3" count="0"/>
        </references>
      </pivotArea>
    </format>
    <format dxfId="1352">
      <pivotArea dataOnly="0" labelOnly="1" grandRow="1" outline="0" fieldPosition="0"/>
    </format>
    <format dxfId="1351">
      <pivotArea dataOnly="0" labelOnly="1" fieldPosition="0">
        <references count="1">
          <reference field="5" count="0"/>
        </references>
      </pivotArea>
    </format>
    <format dxfId="1350">
      <pivotArea type="all" dataOnly="0" outline="0" fieldPosition="0"/>
    </format>
    <format dxfId="1349">
      <pivotArea outline="0" collapsedLevelsAreSubtotals="1" fieldPosition="0"/>
    </format>
    <format dxfId="1348">
      <pivotArea type="origin" dataOnly="0" labelOnly="1" outline="0" fieldPosition="0"/>
    </format>
    <format dxfId="1347">
      <pivotArea field="5" type="button" dataOnly="0" labelOnly="1" outline="0" axis="axisCol" fieldPosition="0"/>
    </format>
    <format dxfId="1346">
      <pivotArea type="topRight" dataOnly="0" labelOnly="1" outline="0" fieldPosition="0"/>
    </format>
    <format dxfId="1345">
      <pivotArea field="0" type="button" dataOnly="0" labelOnly="1" outline="0" axis="axisRow" fieldPosition="0"/>
    </format>
    <format dxfId="1344">
      <pivotArea dataOnly="0" labelOnly="1" fieldPosition="0">
        <references count="1">
          <reference field="0" count="0"/>
        </references>
      </pivotArea>
    </format>
    <format dxfId="1343">
      <pivotArea dataOnly="0" labelOnly="1" grandRow="1" outline="0" fieldPosition="0"/>
    </format>
    <format dxfId="1342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341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340">
      <pivotArea dataOnly="0" labelOnly="1" fieldPosition="0">
        <references count="1">
          <reference field="5" count="0"/>
        </references>
      </pivotArea>
    </format>
    <format dxfId="1339">
      <pivotArea outline="0" fieldPosition="0">
        <references count="1">
          <reference field="4294967294" count="1">
            <x v="0"/>
          </reference>
        </references>
      </pivotArea>
    </format>
    <format dxfId="1338">
      <pivotArea type="origin" dataOnly="0" labelOnly="1" outline="0" fieldPosition="0"/>
    </format>
    <format dxfId="1337">
      <pivotArea collapsedLevelsAreSubtotals="1" fieldPosition="0">
        <references count="1">
          <reference field="0" count="1">
            <x v="1"/>
          </reference>
        </references>
      </pivotArea>
    </format>
    <format dxfId="1336">
      <pivotArea collapsedLevelsAreSubtotals="1" fieldPosition="0">
        <references count="1">
          <reference field="0" count="1">
            <x v="1"/>
          </reference>
        </references>
      </pivotArea>
    </format>
    <format dxfId="1335">
      <pivotArea collapsedLevelsAreSubtotals="1" fieldPosition="0">
        <references count="1">
          <reference field="0" count="1"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BECEXT" fld="70" subtotal="average" baseField="3" baseItem="0" numFmtId="164"/>
  </dataFields>
  <formats count="34">
    <format dxfId="513">
      <pivotArea type="all" dataOnly="0" outline="0" fieldPosition="0"/>
    </format>
    <format dxfId="512">
      <pivotArea outline="0" collapsedLevelsAreSubtotals="1" fieldPosition="0"/>
    </format>
    <format dxfId="511">
      <pivotArea type="origin" dataOnly="0" labelOnly="1" outline="0" fieldPosition="0"/>
    </format>
    <format dxfId="510">
      <pivotArea field="5" type="button" dataOnly="0" labelOnly="1" outline="0" axis="axisCol" fieldPosition="0"/>
    </format>
    <format dxfId="509">
      <pivotArea type="topRight" dataOnly="0" labelOnly="1" outline="0" fieldPosition="0"/>
    </format>
    <format dxfId="508">
      <pivotArea field="3" type="button" dataOnly="0" labelOnly="1" outline="0" axis="axisRow" fieldPosition="1"/>
    </format>
    <format dxfId="507">
      <pivotArea dataOnly="0" labelOnly="1" fieldPosition="0">
        <references count="1">
          <reference field="3" count="0"/>
        </references>
      </pivotArea>
    </format>
    <format dxfId="506">
      <pivotArea dataOnly="0" labelOnly="1" grandRow="1" outline="0" fieldPosition="0"/>
    </format>
    <format dxfId="505">
      <pivotArea dataOnly="0" labelOnly="1" fieldPosition="0">
        <references count="1">
          <reference field="5" count="0"/>
        </references>
      </pivotArea>
    </format>
    <format dxfId="504">
      <pivotArea type="all" dataOnly="0" outline="0" fieldPosition="0"/>
    </format>
    <format dxfId="503">
      <pivotArea outline="0" collapsedLevelsAreSubtotals="1" fieldPosition="0"/>
    </format>
    <format dxfId="502">
      <pivotArea type="origin" dataOnly="0" labelOnly="1" outline="0" fieldPosition="0"/>
    </format>
    <format dxfId="501">
      <pivotArea field="5" type="button" dataOnly="0" labelOnly="1" outline="0" axis="axisCol" fieldPosition="0"/>
    </format>
    <format dxfId="500">
      <pivotArea type="topRight" dataOnly="0" labelOnly="1" outline="0" fieldPosition="0"/>
    </format>
    <format dxfId="499">
      <pivotArea field="3" type="button" dataOnly="0" labelOnly="1" outline="0" axis="axisRow" fieldPosition="1"/>
    </format>
    <format dxfId="498">
      <pivotArea dataOnly="0" labelOnly="1" fieldPosition="0">
        <references count="1">
          <reference field="3" count="0"/>
        </references>
      </pivotArea>
    </format>
    <format dxfId="497">
      <pivotArea dataOnly="0" labelOnly="1" grandRow="1" outline="0" fieldPosition="0"/>
    </format>
    <format dxfId="496">
      <pivotArea dataOnly="0" labelOnly="1" fieldPosition="0">
        <references count="1">
          <reference field="5" count="0"/>
        </references>
      </pivotArea>
    </format>
    <format dxfId="495">
      <pivotArea type="all" dataOnly="0" outline="0" fieldPosition="0"/>
    </format>
    <format dxfId="494">
      <pivotArea outline="0" collapsedLevelsAreSubtotals="1" fieldPosition="0"/>
    </format>
    <format dxfId="493">
      <pivotArea type="origin" dataOnly="0" labelOnly="1" outline="0" fieldPosition="0"/>
    </format>
    <format dxfId="492">
      <pivotArea field="5" type="button" dataOnly="0" labelOnly="1" outline="0" axis="axisCol" fieldPosition="0"/>
    </format>
    <format dxfId="491">
      <pivotArea type="topRight" dataOnly="0" labelOnly="1" outline="0" fieldPosition="0"/>
    </format>
    <format dxfId="490">
      <pivotArea field="0" type="button" dataOnly="0" labelOnly="1" outline="0" axis="axisRow" fieldPosition="0"/>
    </format>
    <format dxfId="489">
      <pivotArea dataOnly="0" labelOnly="1" fieldPosition="0">
        <references count="1">
          <reference field="0" count="0"/>
        </references>
      </pivotArea>
    </format>
    <format dxfId="488">
      <pivotArea dataOnly="0" labelOnly="1" grandRow="1" outline="0" fieldPosition="0"/>
    </format>
    <format dxfId="487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486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485">
      <pivotArea dataOnly="0" labelOnly="1" fieldPosition="0">
        <references count="1">
          <reference field="5" count="0"/>
        </references>
      </pivotArea>
    </format>
    <format dxfId="484">
      <pivotArea type="origin" dataOnly="0" labelOnly="1" outline="0" fieldPosition="0"/>
    </format>
    <format dxfId="483">
      <pivotArea collapsedLevelsAreSubtotals="1" fieldPosition="0">
        <references count="1">
          <reference field="0" count="1">
            <x v="1"/>
          </reference>
        </references>
      </pivotArea>
    </format>
    <format dxfId="482">
      <pivotArea collapsedLevelsAreSubtotals="1" fieldPosition="0">
        <references count="1">
          <reference field="0" count="1">
            <x v="1"/>
          </reference>
        </references>
      </pivotArea>
    </format>
    <format dxfId="481">
      <pivotArea collapsedLevelsAreSubtotals="1" fieldPosition="0">
        <references count="1">
          <reference field="0" count="1">
            <x v="1"/>
          </reference>
        </references>
      </pivotArea>
    </format>
    <format dxfId="48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PCSINEMS" fld="71" subtotal="average" baseField="3" baseItem="1" numFmtId="164"/>
  </dataFields>
  <formats count="69">
    <format dxfId="471">
      <pivotArea type="all" dataOnly="0" outline="0" fieldPosition="0"/>
    </format>
    <format dxfId="470">
      <pivotArea outline="0" collapsedLevelsAreSubtotals="1" fieldPosition="0"/>
    </format>
    <format dxfId="469">
      <pivotArea type="origin" dataOnly="0" labelOnly="1" outline="0" fieldPosition="0"/>
    </format>
    <format dxfId="468">
      <pivotArea field="5" type="button" dataOnly="0" labelOnly="1" outline="0" axis="axisCol" fieldPosition="0"/>
    </format>
    <format dxfId="467">
      <pivotArea type="topRight" dataOnly="0" labelOnly="1" outline="0" fieldPosition="0"/>
    </format>
    <format dxfId="466">
      <pivotArea field="3" type="button" dataOnly="0" labelOnly="1" outline="0" axis="axisRow" fieldPosition="1"/>
    </format>
    <format dxfId="465">
      <pivotArea dataOnly="0" labelOnly="1" fieldPosition="0">
        <references count="1">
          <reference field="3" count="0"/>
        </references>
      </pivotArea>
    </format>
    <format dxfId="464">
      <pivotArea dataOnly="0" labelOnly="1" grandRow="1" outline="0" fieldPosition="0"/>
    </format>
    <format dxfId="463">
      <pivotArea dataOnly="0" labelOnly="1" fieldPosition="0">
        <references count="1">
          <reference field="5" count="0"/>
        </references>
      </pivotArea>
    </format>
    <format dxfId="462">
      <pivotArea type="all" dataOnly="0" outline="0" fieldPosition="0"/>
    </format>
    <format dxfId="461">
      <pivotArea outline="0" collapsedLevelsAreSubtotals="1" fieldPosition="0"/>
    </format>
    <format dxfId="460">
      <pivotArea type="origin" dataOnly="0" labelOnly="1" outline="0" fieldPosition="0"/>
    </format>
    <format dxfId="459">
      <pivotArea field="5" type="button" dataOnly="0" labelOnly="1" outline="0" axis="axisCol" fieldPosition="0"/>
    </format>
    <format dxfId="458">
      <pivotArea type="topRight" dataOnly="0" labelOnly="1" outline="0" fieldPosition="0"/>
    </format>
    <format dxfId="457">
      <pivotArea field="3" type="button" dataOnly="0" labelOnly="1" outline="0" axis="axisRow" fieldPosition="1"/>
    </format>
    <format dxfId="456">
      <pivotArea dataOnly="0" labelOnly="1" fieldPosition="0">
        <references count="1">
          <reference field="3" count="0"/>
        </references>
      </pivotArea>
    </format>
    <format dxfId="455">
      <pivotArea dataOnly="0" labelOnly="1" grandRow="1" outline="0" fieldPosition="0"/>
    </format>
    <format dxfId="454">
      <pivotArea dataOnly="0" labelOnly="1" fieldPosition="0">
        <references count="1">
          <reference field="5" count="0"/>
        </references>
      </pivotArea>
    </format>
    <format dxfId="453">
      <pivotArea type="all" dataOnly="0" outline="0" fieldPosition="0"/>
    </format>
    <format dxfId="452">
      <pivotArea outline="0" collapsedLevelsAreSubtotals="1" fieldPosition="0"/>
    </format>
    <format dxfId="451">
      <pivotArea type="origin" dataOnly="0" labelOnly="1" outline="0" fieldPosition="0"/>
    </format>
    <format dxfId="450">
      <pivotArea field="5" type="button" dataOnly="0" labelOnly="1" outline="0" axis="axisCol" fieldPosition="0"/>
    </format>
    <format dxfId="449">
      <pivotArea type="topRight" dataOnly="0" labelOnly="1" outline="0" fieldPosition="0"/>
    </format>
    <format dxfId="448">
      <pivotArea field="0" type="button" dataOnly="0" labelOnly="1" outline="0" axis="axisRow" fieldPosition="0"/>
    </format>
    <format dxfId="447">
      <pivotArea dataOnly="0" labelOnly="1" fieldPosition="0">
        <references count="1">
          <reference field="0" count="0"/>
        </references>
      </pivotArea>
    </format>
    <format dxfId="446">
      <pivotArea dataOnly="0" labelOnly="1" grandRow="1" outline="0" fieldPosition="0"/>
    </format>
    <format dxfId="445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444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443">
      <pivotArea dataOnly="0" labelOnly="1" fieldPosition="0">
        <references count="1">
          <reference field="5" count="0"/>
        </references>
      </pivotArea>
    </format>
    <format dxfId="442">
      <pivotArea type="origin" dataOnly="0" labelOnly="1" outline="0" fieldPosition="0"/>
    </format>
    <format dxfId="441">
      <pivotArea collapsedLevelsAreSubtotals="1" fieldPosition="0">
        <references count="1">
          <reference field="0" count="1">
            <x v="1"/>
          </reference>
        </references>
      </pivotArea>
    </format>
    <format dxfId="440">
      <pivotArea collapsedLevelsAreSubtotals="1" fieldPosition="0">
        <references count="1">
          <reference field="0" count="1">
            <x v="1"/>
          </reference>
        </references>
      </pivotArea>
    </format>
    <format dxfId="439">
      <pivotArea collapsedLevelsAreSubtotals="1" fieldPosition="0">
        <references count="1">
          <reference field="0" count="1">
            <x v="1"/>
          </reference>
        </references>
      </pivotArea>
    </format>
    <format dxfId="438">
      <pivotArea collapsedLevelsAreSubtotals="1" fieldPosition="0">
        <references count="2">
          <reference field="0" count="1">
            <x v="0"/>
          </reference>
          <reference field="5" count="1" selected="0">
            <x v="0"/>
          </reference>
        </references>
      </pivotArea>
    </format>
    <format dxfId="437">
      <pivotArea collapsedLevelsAreSubtotals="1" fieldPosition="0">
        <references count="3">
          <reference field="0" count="1" selected="0">
            <x v="0"/>
          </reference>
          <reference field="3" count="1">
            <x v="1"/>
          </reference>
          <reference field="5" count="1" selected="0">
            <x v="0"/>
          </reference>
        </references>
      </pivotArea>
    </format>
    <format dxfId="436">
      <pivotArea collapsedLevelsAreSubtotals="1" fieldPosition="0">
        <references count="3">
          <reference field="0" count="1" selected="0">
            <x v="0"/>
          </reference>
          <reference field="3" count="1">
            <x v="3"/>
          </reference>
          <reference field="5" count="1" selected="0">
            <x v="0"/>
          </reference>
        </references>
      </pivotArea>
    </format>
    <format dxfId="435">
      <pivotArea collapsedLevelsAreSubtotals="1" fieldPosition="0">
        <references count="3">
          <reference field="0" count="1" selected="0">
            <x v="0"/>
          </reference>
          <reference field="3" count="1">
            <x v="5"/>
          </reference>
          <reference field="5" count="1" selected="0">
            <x v="0"/>
          </reference>
        </references>
      </pivotArea>
    </format>
    <format dxfId="434">
      <pivotArea collapsedLevelsAreSubtotals="1" fieldPosition="0">
        <references count="3">
          <reference field="0" count="1" selected="0">
            <x v="0"/>
          </reference>
          <reference field="3" count="1">
            <x v="8"/>
          </reference>
          <reference field="5" count="1" selected="0">
            <x v="0"/>
          </reference>
        </references>
      </pivotArea>
    </format>
    <format dxfId="433">
      <pivotArea collapsedLevelsAreSubtotals="1" fieldPosition="0">
        <references count="3">
          <reference field="0" count="1" selected="0">
            <x v="0"/>
          </reference>
          <reference field="3" count="1">
            <x v="10"/>
          </reference>
          <reference field="5" count="1" selected="0">
            <x v="0"/>
          </reference>
        </references>
      </pivotArea>
    </format>
    <format dxfId="432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5" count="1" selected="0">
            <x v="0"/>
          </reference>
        </references>
      </pivotArea>
    </format>
    <format dxfId="431">
      <pivotArea collapsedLevelsAreSubtotals="1" fieldPosition="0">
        <references count="3">
          <reference field="0" count="1" selected="0">
            <x v="0"/>
          </reference>
          <reference field="3" count="1">
            <x v="14"/>
          </reference>
          <reference field="5" count="1" selected="0">
            <x v="0"/>
          </reference>
        </references>
      </pivotArea>
    </format>
    <format dxfId="430">
      <pivotArea collapsedLevelsAreSubtotals="1" fieldPosition="0">
        <references count="3">
          <reference field="0" count="1" selected="0">
            <x v="0"/>
          </reference>
          <reference field="3" count="1">
            <x v="16"/>
          </reference>
          <reference field="5" count="1" selected="0">
            <x v="0"/>
          </reference>
        </references>
      </pivotArea>
    </format>
    <format dxfId="429">
      <pivotArea collapsedLevelsAreSubtotals="1" fieldPosition="0">
        <references count="3">
          <reference field="0" count="1" selected="0">
            <x v="0"/>
          </reference>
          <reference field="3" count="1">
            <x v="18"/>
          </reference>
          <reference field="5" count="1" selected="0">
            <x v="0"/>
          </reference>
        </references>
      </pivotArea>
    </format>
    <format dxfId="428">
      <pivotArea collapsedLevelsAreSubtotals="1" fieldPosition="0">
        <references count="3">
          <reference field="0" count="1" selected="0">
            <x v="0"/>
          </reference>
          <reference field="3" count="1">
            <x v="21"/>
          </reference>
          <reference field="5" count="1" selected="0">
            <x v="0"/>
          </reference>
        </references>
      </pivotArea>
    </format>
    <format dxfId="427">
      <pivotArea collapsedLevelsAreSubtotals="1" fieldPosition="0">
        <references count="3">
          <reference field="0" count="1" selected="0">
            <x v="0"/>
          </reference>
          <reference field="3" count="1">
            <x v="23"/>
          </reference>
          <reference field="5" count="1" selected="0">
            <x v="0"/>
          </reference>
        </references>
      </pivotArea>
    </format>
    <format dxfId="426">
      <pivotArea collapsedLevelsAreSubtotals="1" fieldPosition="0">
        <references count="3">
          <reference field="0" count="1" selected="0">
            <x v="0"/>
          </reference>
          <reference field="3" count="1">
            <x v="25"/>
          </reference>
          <reference field="5" count="1" selected="0">
            <x v="0"/>
          </reference>
        </references>
      </pivotArea>
    </format>
    <format dxfId="425">
      <pivotArea collapsedLevelsAreSubtotals="1" fieldPosition="0">
        <references count="3">
          <reference field="0" count="1" selected="0">
            <x v="0"/>
          </reference>
          <reference field="3" count="1">
            <x v="27"/>
          </reference>
          <reference field="5" count="1" selected="0">
            <x v="0"/>
          </reference>
        </references>
      </pivotArea>
    </format>
    <format dxfId="424">
      <pivotArea collapsedLevelsAreSubtotals="1" fieldPosition="0">
        <references count="3">
          <reference field="0" count="1" selected="0">
            <x v="0"/>
          </reference>
          <reference field="3" count="1">
            <x v="29"/>
          </reference>
          <reference field="5" count="1" selected="0">
            <x v="0"/>
          </reference>
        </references>
      </pivotArea>
    </format>
    <format dxfId="423">
      <pivotArea collapsedLevelsAreSubtotals="1" fieldPosition="0">
        <references count="3">
          <reference field="0" count="1" selected="0">
            <x v="0"/>
          </reference>
          <reference field="3" count="1">
            <x v="31"/>
          </reference>
          <reference field="5" count="1" selected="0">
            <x v="0"/>
          </reference>
        </references>
      </pivotArea>
    </format>
    <format dxfId="422">
      <pivotArea collapsedLevelsAreSubtotals="1" fieldPosition="0">
        <references count="3">
          <reference field="0" count="1" selected="0">
            <x v="1"/>
          </reference>
          <reference field="3" count="1">
            <x v="6"/>
          </reference>
          <reference field="5" count="1" selected="0">
            <x v="0"/>
          </reference>
        </references>
      </pivotArea>
    </format>
    <format dxfId="421">
      <pivotArea collapsedLevelsAreSubtotals="1" fieldPosition="0">
        <references count="3">
          <reference field="0" count="1" selected="0">
            <x v="0"/>
          </reference>
          <reference field="3" count="1">
            <x v="0"/>
          </reference>
          <reference field="5" count="1" selected="0">
            <x v="0"/>
          </reference>
        </references>
      </pivotArea>
    </format>
    <format dxfId="420">
      <pivotArea collapsedLevelsAreSubtotals="1" fieldPosition="0">
        <references count="3">
          <reference field="0" count="1" selected="0">
            <x v="0"/>
          </reference>
          <reference field="3" count="1">
            <x v="2"/>
          </reference>
          <reference field="5" count="1" selected="0">
            <x v="0"/>
          </reference>
        </references>
      </pivotArea>
    </format>
    <format dxfId="419">
      <pivotArea collapsedLevelsAreSubtotals="1" fieldPosition="0">
        <references count="3">
          <reference field="0" count="1" selected="0">
            <x v="0"/>
          </reference>
          <reference field="3" count="1">
            <x v="4"/>
          </reference>
          <reference field="5" count="1" selected="0">
            <x v="0"/>
          </reference>
        </references>
      </pivotArea>
    </format>
    <format dxfId="418">
      <pivotArea collapsedLevelsAreSubtotals="1" fieldPosition="0">
        <references count="3">
          <reference field="0" count="1" selected="0">
            <x v="0"/>
          </reference>
          <reference field="3" count="1">
            <x v="7"/>
          </reference>
          <reference field="5" count="1" selected="0">
            <x v="0"/>
          </reference>
        </references>
      </pivotArea>
    </format>
    <format dxfId="417">
      <pivotArea collapsedLevelsAreSubtotals="1" fieldPosition="0">
        <references count="3">
          <reference field="0" count="1" selected="0">
            <x v="0"/>
          </reference>
          <reference field="3" count="1">
            <x v="9"/>
          </reference>
          <reference field="5" count="1" selected="0">
            <x v="0"/>
          </reference>
        </references>
      </pivotArea>
    </format>
    <format dxfId="416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5" count="1" selected="0">
            <x v="0"/>
          </reference>
        </references>
      </pivotArea>
    </format>
    <format dxfId="415">
      <pivotArea collapsedLevelsAreSubtotals="1" fieldPosition="0">
        <references count="3">
          <reference field="0" count="1" selected="0">
            <x v="0"/>
          </reference>
          <reference field="3" count="1">
            <x v="13"/>
          </reference>
          <reference field="5" count="1" selected="0">
            <x v="0"/>
          </reference>
        </references>
      </pivotArea>
    </format>
    <format dxfId="414">
      <pivotArea collapsedLevelsAreSubtotals="1" fieldPosition="0">
        <references count="3">
          <reference field="0" count="1" selected="0">
            <x v="0"/>
          </reference>
          <reference field="3" count="1">
            <x v="15"/>
          </reference>
          <reference field="5" count="1" selected="0">
            <x v="0"/>
          </reference>
        </references>
      </pivotArea>
    </format>
    <format dxfId="413">
      <pivotArea collapsedLevelsAreSubtotals="1" fieldPosition="0">
        <references count="3">
          <reference field="0" count="1" selected="0">
            <x v="0"/>
          </reference>
          <reference field="3" count="1">
            <x v="17"/>
          </reference>
          <reference field="5" count="1" selected="0">
            <x v="0"/>
          </reference>
        </references>
      </pivotArea>
    </format>
    <format dxfId="412">
      <pivotArea collapsedLevelsAreSubtotals="1" fieldPosition="0">
        <references count="3">
          <reference field="0" count="1" selected="0">
            <x v="0"/>
          </reference>
          <reference field="3" count="1">
            <x v="20"/>
          </reference>
          <reference field="5" count="1" selected="0">
            <x v="0"/>
          </reference>
        </references>
      </pivotArea>
    </format>
    <format dxfId="411">
      <pivotArea collapsedLevelsAreSubtotals="1" fieldPosition="0">
        <references count="3">
          <reference field="0" count="1" selected="0">
            <x v="0"/>
          </reference>
          <reference field="3" count="1">
            <x v="22"/>
          </reference>
          <reference field="5" count="1" selected="0">
            <x v="0"/>
          </reference>
        </references>
      </pivotArea>
    </format>
    <format dxfId="410">
      <pivotArea collapsedLevelsAreSubtotals="1" fieldPosition="0">
        <references count="3">
          <reference field="0" count="1" selected="0">
            <x v="0"/>
          </reference>
          <reference field="3" count="1">
            <x v="24"/>
          </reference>
          <reference field="5" count="1" selected="0">
            <x v="0"/>
          </reference>
        </references>
      </pivotArea>
    </format>
    <format dxfId="409">
      <pivotArea collapsedLevelsAreSubtotals="1" fieldPosition="0">
        <references count="3">
          <reference field="0" count="1" selected="0">
            <x v="0"/>
          </reference>
          <reference field="3" count="1">
            <x v="26"/>
          </reference>
          <reference field="5" count="1" selected="0">
            <x v="0"/>
          </reference>
        </references>
      </pivotArea>
    </format>
    <format dxfId="408">
      <pivotArea collapsedLevelsAreSubtotals="1" fieldPosition="0">
        <references count="3">
          <reference field="0" count="1" selected="0">
            <x v="0"/>
          </reference>
          <reference field="3" count="1">
            <x v="28"/>
          </reference>
          <reference field="5" count="1" selected="0">
            <x v="0"/>
          </reference>
        </references>
      </pivotArea>
    </format>
    <format dxfId="407">
      <pivotArea collapsedLevelsAreSubtotals="1" fieldPosition="0">
        <references count="3">
          <reference field="0" count="1" selected="0">
            <x v="0"/>
          </reference>
          <reference field="3" count="1">
            <x v="30"/>
          </reference>
          <reference field="5" count="1" selected="0">
            <x v="0"/>
          </reference>
        </references>
      </pivotArea>
    </format>
    <format dxfId="406">
      <pivotArea collapsedLevelsAreSubtotals="1" fieldPosition="0">
        <references count="2">
          <reference field="0" count="1">
            <x v="1"/>
          </reference>
          <reference field="5" count="1" selected="0">
            <x v="0"/>
          </reference>
        </references>
      </pivotArea>
    </format>
    <format dxfId="405">
      <pivotArea collapsedLevelsAreSubtotals="1" fieldPosition="0">
        <references count="3">
          <reference field="0" count="1" selected="0">
            <x v="1"/>
          </reference>
          <reference field="3" count="1">
            <x v="19"/>
          </reference>
          <reference field="5" count="1" selected="0">
            <x v="0"/>
          </reference>
        </references>
      </pivotArea>
    </format>
    <format dxfId="404">
      <pivotArea dataOnly="0" labelOnly="1" fieldPosition="0">
        <references count="1">
          <reference field="5" count="1">
            <x v="0"/>
          </reference>
        </references>
      </pivotArea>
    </format>
    <format dxfId="40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Gasto total ejercido" fld="41" baseField="3" baseItem="33" numFmtId="167"/>
    <dataField name="Gasto Ejercido en docentes" fld="40" baseField="3" baseItem="33" numFmtId="167"/>
    <dataField name="Costo docente (%)" fld="72" subtotal="average" baseField="5" baseItem="0" numFmtId="165"/>
  </dataFields>
  <formats count="52">
    <format dxfId="394">
      <pivotArea type="all" dataOnly="0" outline="0" fieldPosition="0"/>
    </format>
    <format dxfId="393">
      <pivotArea outline="0" collapsedLevelsAreSubtotals="1" fieldPosition="0"/>
    </format>
    <format dxfId="392">
      <pivotArea type="origin" dataOnly="0" labelOnly="1" outline="0" fieldPosition="0"/>
    </format>
    <format dxfId="391">
      <pivotArea field="5" type="button" dataOnly="0" labelOnly="1" outline="0" axis="axisRow" fieldPosition="1"/>
    </format>
    <format dxfId="390">
      <pivotArea type="topRight" dataOnly="0" labelOnly="1" outline="0" fieldPosition="0"/>
    </format>
    <format dxfId="389">
      <pivotArea field="3" type="button" dataOnly="0" labelOnly="1" outline="0" axis="axisRow" fieldPosition="0"/>
    </format>
    <format dxfId="388">
      <pivotArea dataOnly="0" labelOnly="1" fieldPosition="0">
        <references count="1">
          <reference field="3" count="0"/>
        </references>
      </pivotArea>
    </format>
    <format dxfId="387">
      <pivotArea dataOnly="0" labelOnly="1" grandRow="1" outline="0" fieldPosition="0"/>
    </format>
    <format dxfId="386">
      <pivotArea dataOnly="0" labelOnly="1" fieldPosition="0">
        <references count="1">
          <reference field="5" count="0"/>
        </references>
      </pivotArea>
    </format>
    <format dxfId="385">
      <pivotArea type="all" dataOnly="0" outline="0" fieldPosition="0"/>
    </format>
    <format dxfId="384">
      <pivotArea outline="0" collapsedLevelsAreSubtotals="1" fieldPosition="0"/>
    </format>
    <format dxfId="383">
      <pivotArea type="origin" dataOnly="0" labelOnly="1" outline="0" fieldPosition="0"/>
    </format>
    <format dxfId="382">
      <pivotArea field="5" type="button" dataOnly="0" labelOnly="1" outline="0" axis="axisRow" fieldPosition="1"/>
    </format>
    <format dxfId="381">
      <pivotArea type="topRight" dataOnly="0" labelOnly="1" outline="0" fieldPosition="0"/>
    </format>
    <format dxfId="380">
      <pivotArea field="3" type="button" dataOnly="0" labelOnly="1" outline="0" axis="axisRow" fieldPosition="0"/>
    </format>
    <format dxfId="379">
      <pivotArea dataOnly="0" labelOnly="1" fieldPosition="0">
        <references count="1">
          <reference field="3" count="0"/>
        </references>
      </pivotArea>
    </format>
    <format dxfId="378">
      <pivotArea dataOnly="0" labelOnly="1" grandRow="1" outline="0" fieldPosition="0"/>
    </format>
    <format dxfId="377">
      <pivotArea dataOnly="0" labelOnly="1" fieldPosition="0">
        <references count="1">
          <reference field="5" count="0"/>
        </references>
      </pivotArea>
    </format>
    <format dxfId="376">
      <pivotArea type="all" dataOnly="0" outline="0" fieldPosition="0"/>
    </format>
    <format dxfId="375">
      <pivotArea outline="0" collapsedLevelsAreSubtotals="1" fieldPosition="0"/>
    </format>
    <format dxfId="374">
      <pivotArea type="origin" dataOnly="0" labelOnly="1" outline="0" fieldPosition="0"/>
    </format>
    <format dxfId="373">
      <pivotArea field="5" type="button" dataOnly="0" labelOnly="1" outline="0" axis="axisRow" fieldPosition="1"/>
    </format>
    <format dxfId="372">
      <pivotArea type="topRight" dataOnly="0" labelOnly="1" outline="0" fieldPosition="0"/>
    </format>
    <format dxfId="371">
      <pivotArea field="0" type="button" dataOnly="0" labelOnly="1" outline="0"/>
    </format>
    <format dxfId="370">
      <pivotArea dataOnly="0" labelOnly="1" grandRow="1" outline="0" fieldPosition="0"/>
    </format>
    <format dxfId="369">
      <pivotArea dataOnly="0" labelOnly="1" fieldPosition="0">
        <references count="1">
          <reference field="5" count="0"/>
        </references>
      </pivotArea>
    </format>
    <format dxfId="368">
      <pivotArea type="origin" dataOnly="0" labelOnly="1" outline="0" fieldPosition="0"/>
    </format>
    <format dxfId="367">
      <pivotArea dataOnly="0" labelOnly="1" fieldPosition="0">
        <references count="1">
          <reference field="5" count="1">
            <x v="0"/>
          </reference>
        </references>
      </pivotArea>
    </format>
    <format dxfId="366">
      <pivotArea outline="0" fieldPosition="0">
        <references count="1">
          <reference field="4294967294" count="1">
            <x v="1"/>
          </reference>
        </references>
      </pivotArea>
    </format>
    <format dxfId="365">
      <pivotArea outline="0" fieldPosition="0">
        <references count="1">
          <reference field="4294967294" count="1">
            <x v="0"/>
          </reference>
        </references>
      </pivotArea>
    </format>
    <format dxfId="364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363">
      <pivotArea field="3" type="button" dataOnly="0" labelOnly="1" outline="0" axis="axisRow" fieldPosition="0"/>
    </format>
    <format dxfId="3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1">
      <pivotArea field="3" type="button" dataOnly="0" labelOnly="1" outline="0" axis="axisRow" fieldPosition="0"/>
    </format>
    <format dxfId="3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9">
      <pivotArea field="3" type="button" dataOnly="0" labelOnly="1" outline="0" axis="axisRow" fieldPosition="0"/>
    </format>
    <format dxfId="3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field="3" type="button" dataOnly="0" labelOnly="1" outline="0" axis="axisRow" fieldPosition="0"/>
    </format>
    <format dxfId="353">
      <pivotArea dataOnly="0" labelOnly="1" fieldPosition="0">
        <references count="1">
          <reference field="3" count="0"/>
        </references>
      </pivotArea>
    </format>
    <format dxfId="352">
      <pivotArea dataOnly="0" labelOnly="1" fieldPosition="0">
        <references count="2">
          <reference field="3" count="0" selected="0"/>
          <reference field="5" count="0"/>
        </references>
      </pivotArea>
    </format>
    <format dxfId="3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8">
      <pivotArea collapsedLevelsAreSubtotals="1" fieldPosition="0">
        <references count="3">
          <reference field="4294967294" count="1" selected="0">
            <x v="2"/>
          </reference>
          <reference field="3" count="0" selected="0"/>
          <reference field="5" count="0"/>
        </references>
      </pivotArea>
    </format>
    <format dxfId="347">
      <pivotArea outline="0" fieldPosition="0">
        <references count="1">
          <reference field="4294967294" count="1">
            <x v="1"/>
          </reference>
        </references>
      </pivotArea>
    </format>
    <format dxfId="346">
      <pivotArea outline="0" fieldPosition="0">
        <references count="1">
          <reference field="4294967294" count="1">
            <x v="0"/>
          </reference>
        </references>
      </pivotArea>
    </format>
    <format dxfId="345">
      <pivotArea dataOnly="0" labelOnly="1" fieldPosition="0">
        <references count="2">
          <reference field="3" count="0" selected="0"/>
          <reference field="5" count="0"/>
        </references>
      </pivotArea>
    </format>
    <format dxfId="344">
      <pivotArea field="3" type="button" dataOnly="0" labelOnly="1" outline="0" axis="axisRow" fieldPosition="0"/>
    </format>
    <format dxfId="3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Reprogramado total" fld="43" baseField="3" baseItem="33" numFmtId="167"/>
    <dataField name="Presupuesto_x000a_Ejercido Total" fld="42" baseField="3" baseItem="33" numFmtId="167"/>
    <dataField name="Evolución del Presupuesto Reprogramado Total" fld="73" subtotal="average" baseField="3" baseItem="33" numFmtId="168"/>
  </dataFields>
  <formats count="53">
    <format dxfId="342">
      <pivotArea type="all" dataOnly="0" outline="0" fieldPosition="0"/>
    </format>
    <format dxfId="341">
      <pivotArea outline="0" collapsedLevelsAreSubtotals="1" fieldPosition="0"/>
    </format>
    <format dxfId="340">
      <pivotArea type="origin" dataOnly="0" labelOnly="1" outline="0" fieldPosition="0"/>
    </format>
    <format dxfId="339">
      <pivotArea field="5" type="button" dataOnly="0" labelOnly="1" outline="0" axis="axisRow" fieldPosition="1"/>
    </format>
    <format dxfId="338">
      <pivotArea type="topRight" dataOnly="0" labelOnly="1" outline="0" fieldPosition="0"/>
    </format>
    <format dxfId="337">
      <pivotArea field="3" type="button" dataOnly="0" labelOnly="1" outline="0" axis="axisRow" fieldPosition="0"/>
    </format>
    <format dxfId="336">
      <pivotArea dataOnly="0" labelOnly="1" fieldPosition="0">
        <references count="1">
          <reference field="3" count="0"/>
        </references>
      </pivotArea>
    </format>
    <format dxfId="335">
      <pivotArea dataOnly="0" labelOnly="1" grandRow="1" outline="0" fieldPosition="0"/>
    </format>
    <format dxfId="334">
      <pivotArea dataOnly="0" labelOnly="1" fieldPosition="0">
        <references count="1">
          <reference field="5" count="0"/>
        </references>
      </pivotArea>
    </format>
    <format dxfId="333">
      <pivotArea type="all" dataOnly="0" outline="0" fieldPosition="0"/>
    </format>
    <format dxfId="332">
      <pivotArea outline="0" collapsedLevelsAreSubtotals="1" fieldPosition="0"/>
    </format>
    <format dxfId="331">
      <pivotArea type="origin" dataOnly="0" labelOnly="1" outline="0" fieldPosition="0"/>
    </format>
    <format dxfId="330">
      <pivotArea field="5" type="button" dataOnly="0" labelOnly="1" outline="0" axis="axisRow" fieldPosition="1"/>
    </format>
    <format dxfId="329">
      <pivotArea type="topRight" dataOnly="0" labelOnly="1" outline="0" fieldPosition="0"/>
    </format>
    <format dxfId="328">
      <pivotArea field="3" type="button" dataOnly="0" labelOnly="1" outline="0" axis="axisRow" fieldPosition="0"/>
    </format>
    <format dxfId="327">
      <pivotArea dataOnly="0" labelOnly="1" fieldPosition="0">
        <references count="1">
          <reference field="3" count="0"/>
        </references>
      </pivotArea>
    </format>
    <format dxfId="326">
      <pivotArea dataOnly="0" labelOnly="1" grandRow="1" outline="0" fieldPosition="0"/>
    </format>
    <format dxfId="325">
      <pivotArea dataOnly="0" labelOnly="1" fieldPosition="0">
        <references count="1">
          <reference field="5" count="0"/>
        </references>
      </pivotArea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type="origin" dataOnly="0" labelOnly="1" outline="0" fieldPosition="0"/>
    </format>
    <format dxfId="321">
      <pivotArea field="5" type="button" dataOnly="0" labelOnly="1" outline="0" axis="axisRow" fieldPosition="1"/>
    </format>
    <format dxfId="320">
      <pivotArea type="topRight" dataOnly="0" labelOnly="1" outline="0" fieldPosition="0"/>
    </format>
    <format dxfId="319">
      <pivotArea field="0" type="button" dataOnly="0" labelOnly="1" outline="0"/>
    </format>
    <format dxfId="318">
      <pivotArea dataOnly="0" labelOnly="1" grandRow="1" outline="0" fieldPosition="0"/>
    </format>
    <format dxfId="317">
      <pivotArea dataOnly="0" labelOnly="1" fieldPosition="0">
        <references count="1">
          <reference field="5" count="0"/>
        </references>
      </pivotArea>
    </format>
    <format dxfId="316">
      <pivotArea type="origin" dataOnly="0" labelOnly="1" outline="0" fieldPosition="0"/>
    </format>
    <format dxfId="315">
      <pivotArea dataOnly="0" labelOnly="1" fieldPosition="0">
        <references count="1">
          <reference field="5" count="1">
            <x v="0"/>
          </reference>
        </references>
      </pivotArea>
    </format>
    <format dxfId="314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313">
      <pivotArea field="3" type="button" dataOnly="0" labelOnly="1" outline="0" axis="axisRow" fieldPosition="0"/>
    </format>
    <format dxfId="312">
      <pivotArea field="3" type="button" dataOnly="0" labelOnly="1" outline="0" axis="axisRow" fieldPosition="0"/>
    </format>
    <format dxfId="311">
      <pivotArea field="3" type="button" dataOnly="0" labelOnly="1" outline="0" axis="axisRow" fieldPosition="0"/>
    </format>
    <format dxfId="310">
      <pivotArea type="all" dataOnly="0" outline="0" fieldPosition="0"/>
    </format>
    <format dxfId="309">
      <pivotArea outline="0" collapsedLevelsAreSubtotals="1" fieldPosition="0"/>
    </format>
    <format dxfId="308">
      <pivotArea field="3" type="button" dataOnly="0" labelOnly="1" outline="0" axis="axisRow" fieldPosition="0"/>
    </format>
    <format dxfId="307">
      <pivotArea dataOnly="0" labelOnly="1" fieldPosition="0">
        <references count="1">
          <reference field="3" count="0"/>
        </references>
      </pivotArea>
    </format>
    <format dxfId="306">
      <pivotArea dataOnly="0" labelOnly="1" fieldPosition="0">
        <references count="2">
          <reference field="3" count="0" selected="0"/>
          <reference field="5" count="0"/>
        </references>
      </pivotArea>
    </format>
    <format dxfId="305">
      <pivotArea dataOnly="0" labelOnly="1" fieldPosition="0">
        <references count="2">
          <reference field="3" count="0" selected="0"/>
          <reference field="5" count="0"/>
        </references>
      </pivotArea>
    </format>
    <format dxfId="304">
      <pivotArea outline="0" fieldPosition="0">
        <references count="1">
          <reference field="4294967294" count="1">
            <x v="2"/>
          </reference>
        </references>
      </pivotArea>
    </format>
    <format dxfId="303">
      <pivotArea outline="0" fieldPosition="0">
        <references count="1">
          <reference field="4294967294" count="1">
            <x v="1"/>
          </reference>
        </references>
      </pivotArea>
    </format>
    <format dxfId="302">
      <pivotArea outline="0" fieldPosition="0">
        <references count="1">
          <reference field="4294967294" count="1">
            <x v="0"/>
          </reference>
        </references>
      </pivotArea>
    </format>
    <format dxfId="301">
      <pivotArea field="3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96">
      <pivotArea field="3" type="button" dataOnly="0" labelOnly="1" outline="0" axis="axisRow" fieldPosition="0"/>
    </format>
    <format dxfId="2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4">
      <pivotArea field="3" type="button" dataOnly="0" labelOnly="1" outline="0" axis="axisRow" fieldPosition="0"/>
    </format>
    <format dxfId="2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1">
      <pivotArea field="3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Reprogramado_x000a_(Recursos Fiscales)" fld="45" baseField="5" baseItem="0" numFmtId="167"/>
    <dataField name="Presupuesto Ejercido (Recursos Fiscales)" fld="44" baseField="5" baseItem="0" numFmtId="167"/>
    <dataField name="Evolución del Presupuesto Reprogramado_x000a_(Recursos fiscales)" fld="74" subtotal="average" baseField="5" baseItem="0" numFmtId="164"/>
  </dataFields>
  <formats count="49">
    <format dxfId="289">
      <pivotArea type="all" dataOnly="0" outline="0" fieldPosition="0"/>
    </format>
    <format dxfId="288">
      <pivotArea outline="0" collapsedLevelsAreSubtotals="1" fieldPosition="0"/>
    </format>
    <format dxfId="287">
      <pivotArea type="origin" dataOnly="0" labelOnly="1" outline="0" fieldPosition="0"/>
    </format>
    <format dxfId="286">
      <pivotArea field="5" type="button" dataOnly="0" labelOnly="1" outline="0" axis="axisRow" fieldPosition="1"/>
    </format>
    <format dxfId="285">
      <pivotArea type="topRight" dataOnly="0" labelOnly="1" outline="0" fieldPosition="0"/>
    </format>
    <format dxfId="284">
      <pivotArea field="3" type="button" dataOnly="0" labelOnly="1" outline="0" axis="axisRow" fieldPosition="0"/>
    </format>
    <format dxfId="283">
      <pivotArea dataOnly="0" labelOnly="1" fieldPosition="0">
        <references count="1">
          <reference field="3" count="0"/>
        </references>
      </pivotArea>
    </format>
    <format dxfId="282">
      <pivotArea dataOnly="0" labelOnly="1" grandRow="1" outline="0" fieldPosition="0"/>
    </format>
    <format dxfId="281">
      <pivotArea dataOnly="0" labelOnly="1" fieldPosition="0">
        <references count="1">
          <reference field="5" count="0"/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type="origin" dataOnly="0" labelOnly="1" outline="0" fieldPosition="0"/>
    </format>
    <format dxfId="277">
      <pivotArea field="5" type="button" dataOnly="0" labelOnly="1" outline="0" axis="axisRow" fieldPosition="1"/>
    </format>
    <format dxfId="276">
      <pivotArea type="topRight" dataOnly="0" labelOnly="1" outline="0" fieldPosition="0"/>
    </format>
    <format dxfId="275">
      <pivotArea field="3" type="button" dataOnly="0" labelOnly="1" outline="0" axis="axisRow" fieldPosition="0"/>
    </format>
    <format dxfId="274">
      <pivotArea dataOnly="0" labelOnly="1" fieldPosition="0">
        <references count="1">
          <reference field="3" count="0"/>
        </references>
      </pivotArea>
    </format>
    <format dxfId="273">
      <pivotArea dataOnly="0" labelOnly="1" grandRow="1" outline="0" fieldPosition="0"/>
    </format>
    <format dxfId="272">
      <pivotArea dataOnly="0" labelOnly="1" fieldPosition="0">
        <references count="1">
          <reference field="5" count="0"/>
        </references>
      </pivotArea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5" type="button" dataOnly="0" labelOnly="1" outline="0" axis="axisRow" fieldPosition="1"/>
    </format>
    <format dxfId="267">
      <pivotArea type="topRight" dataOnly="0" labelOnly="1" outline="0" fieldPosition="0"/>
    </format>
    <format dxfId="266">
      <pivotArea field="0" type="button" dataOnly="0" labelOnly="1" outline="0"/>
    </format>
    <format dxfId="265">
      <pivotArea dataOnly="0" labelOnly="1" grandRow="1" outline="0" fieldPosition="0"/>
    </format>
    <format dxfId="264">
      <pivotArea dataOnly="0" labelOnly="1" fieldPosition="0">
        <references count="1">
          <reference field="5" count="0"/>
        </references>
      </pivotArea>
    </format>
    <format dxfId="263">
      <pivotArea type="origin" dataOnly="0" labelOnly="1" outline="0" fieldPosition="0"/>
    </format>
    <format dxfId="262">
      <pivotArea dataOnly="0" labelOnly="1" fieldPosition="0">
        <references count="1">
          <reference field="5" count="1">
            <x v="0"/>
          </reference>
        </references>
      </pivotArea>
    </format>
    <format dxfId="261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260">
      <pivotArea field="3" type="button" dataOnly="0" labelOnly="1" outline="0" axis="axisRow" fieldPosition="0"/>
    </format>
    <format dxfId="259">
      <pivotArea field="3" type="button" dataOnly="0" labelOnly="1" outline="0" axis="axisRow" fieldPosition="0"/>
    </format>
    <format dxfId="258">
      <pivotArea field="3" type="button" dataOnly="0" labelOnly="1" outline="0" axis="axisRow" fieldPosition="0"/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field="3" type="button" dataOnly="0" labelOnly="1" outline="0" axis="axisRow" fieldPosition="0"/>
    </format>
    <format dxfId="254">
      <pivotArea dataOnly="0" labelOnly="1" fieldPosition="0">
        <references count="1">
          <reference field="3" count="0"/>
        </references>
      </pivotArea>
    </format>
    <format dxfId="253">
      <pivotArea dataOnly="0" labelOnly="1" fieldPosition="0">
        <references count="2">
          <reference field="3" count="0" selected="0"/>
          <reference field="5" count="0"/>
        </references>
      </pivotArea>
    </format>
    <format dxfId="252">
      <pivotArea dataOnly="0" labelOnly="1" fieldPosition="0">
        <references count="2">
          <reference field="3" count="0" selected="0"/>
          <reference field="5" count="0"/>
        </references>
      </pivotArea>
    </format>
    <format dxfId="251">
      <pivotArea field="3" type="button" dataOnly="0" labelOnly="1" outline="0" axis="axisRow" fieldPosition="0"/>
    </format>
    <format dxfId="250">
      <pivotArea field="3" type="button" dataOnly="0" labelOnly="1" outline="0" axis="axisRow" fieldPosition="0"/>
    </format>
    <format dxfId="249">
      <pivotArea field="3" type="button" dataOnly="0" labelOnly="1" outline="0" axis="axisRow" fieldPosition="0"/>
    </format>
    <format dxfId="248">
      <pivotArea field="3" type="button" dataOnly="0" labelOnly="1" outline="0" axis="axisRow" fieldPosition="0"/>
    </format>
    <format dxfId="247">
      <pivotArea outline="0" fieldPosition="0">
        <references count="1">
          <reference field="4294967294" count="1">
            <x v="2"/>
          </reference>
        </references>
      </pivotArea>
    </format>
    <format dxfId="246">
      <pivotArea outline="0" fieldPosition="0">
        <references count="1">
          <reference field="4294967294" count="1">
            <x v="0"/>
          </reference>
        </references>
      </pivotArea>
    </format>
    <format dxfId="245">
      <pivotArea outline="0" fieldPosition="0">
        <references count="1">
          <reference field="4294967294" count="1">
            <x v="1"/>
          </reference>
        </references>
      </pivotArea>
    </format>
    <format dxfId="2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Reprogramado_x000a_(Gasto Corriente)" fld="47" baseField="3" baseItem="33" numFmtId="167"/>
    <dataField name="Presupuesto Ejercido (Gasto Corriente)" fld="46" baseField="3" baseItem="33" numFmtId="167"/>
    <dataField name="Evolución del Gasto Corriente " fld="75" subtotal="average" baseField="3" baseItem="33" numFmtId="168"/>
  </dataFields>
  <formats count="49">
    <format dxfId="240">
      <pivotArea type="all" dataOnly="0" outline="0" fieldPosition="0"/>
    </format>
    <format dxfId="239">
      <pivotArea outline="0" collapsedLevelsAreSubtotals="1" fieldPosition="0"/>
    </format>
    <format dxfId="238">
      <pivotArea type="origin" dataOnly="0" labelOnly="1" outline="0" fieldPosition="0"/>
    </format>
    <format dxfId="237">
      <pivotArea field="5" type="button" dataOnly="0" labelOnly="1" outline="0" axis="axisRow" fieldPosition="1"/>
    </format>
    <format dxfId="236">
      <pivotArea type="topRight" dataOnly="0" labelOnly="1" outline="0" fieldPosition="0"/>
    </format>
    <format dxfId="235">
      <pivotArea field="3" type="button" dataOnly="0" labelOnly="1" outline="0" axis="axisRow" fieldPosition="0"/>
    </format>
    <format dxfId="234">
      <pivotArea dataOnly="0" labelOnly="1" fieldPosition="0">
        <references count="1">
          <reference field="3" count="0"/>
        </references>
      </pivotArea>
    </format>
    <format dxfId="233">
      <pivotArea dataOnly="0" labelOnly="1" grandRow="1" outline="0" fieldPosition="0"/>
    </format>
    <format dxfId="232">
      <pivotArea dataOnly="0" labelOnly="1" fieldPosition="0">
        <references count="1">
          <reference field="5" count="0"/>
        </references>
      </pivotArea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type="origin" dataOnly="0" labelOnly="1" outline="0" fieldPosition="0"/>
    </format>
    <format dxfId="228">
      <pivotArea field="5" type="button" dataOnly="0" labelOnly="1" outline="0" axis="axisRow" fieldPosition="1"/>
    </format>
    <format dxfId="227">
      <pivotArea type="topRight" dataOnly="0" labelOnly="1" outline="0" fieldPosition="0"/>
    </format>
    <format dxfId="226">
      <pivotArea field="3" type="button" dataOnly="0" labelOnly="1" outline="0" axis="axisRow" fieldPosition="0"/>
    </format>
    <format dxfId="225">
      <pivotArea dataOnly="0" labelOnly="1" fieldPosition="0">
        <references count="1">
          <reference field="3" count="0"/>
        </references>
      </pivotArea>
    </format>
    <format dxfId="224">
      <pivotArea dataOnly="0" labelOnly="1" grandRow="1" outline="0" fieldPosition="0"/>
    </format>
    <format dxfId="223">
      <pivotArea dataOnly="0" labelOnly="1" fieldPosition="0">
        <references count="1">
          <reference field="5" count="0"/>
        </references>
      </pivotArea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type="origin" dataOnly="0" labelOnly="1" outline="0" fieldPosition="0"/>
    </format>
    <format dxfId="219">
      <pivotArea field="5" type="button" dataOnly="0" labelOnly="1" outline="0" axis="axisRow" fieldPosition="1"/>
    </format>
    <format dxfId="218">
      <pivotArea type="topRight" dataOnly="0" labelOnly="1" outline="0" fieldPosition="0"/>
    </format>
    <format dxfId="217">
      <pivotArea field="0" type="button" dataOnly="0" labelOnly="1" outline="0"/>
    </format>
    <format dxfId="216">
      <pivotArea dataOnly="0" labelOnly="1" grandRow="1" outline="0" fieldPosition="0"/>
    </format>
    <format dxfId="215">
      <pivotArea dataOnly="0" labelOnly="1" fieldPosition="0">
        <references count="1">
          <reference field="5" count="0"/>
        </references>
      </pivotArea>
    </format>
    <format dxfId="214">
      <pivotArea type="origin" dataOnly="0" labelOnly="1" outline="0" fieldPosition="0"/>
    </format>
    <format dxfId="213">
      <pivotArea dataOnly="0" labelOnly="1" fieldPosition="0">
        <references count="1">
          <reference field="5" count="1">
            <x v="0"/>
          </reference>
        </references>
      </pivotArea>
    </format>
    <format dxfId="212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211">
      <pivotArea field="3" type="button" dataOnly="0" labelOnly="1" outline="0" axis="axisRow" fieldPosition="0"/>
    </format>
    <format dxfId="210">
      <pivotArea field="3" type="button" dataOnly="0" labelOnly="1" outline="0" axis="axisRow" fieldPosition="0"/>
    </format>
    <format dxfId="209">
      <pivotArea field="3" type="button" dataOnly="0" labelOnly="1" outline="0" axis="axisRow" fieldPosition="0"/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field="3" type="button" dataOnly="0" labelOnly="1" outline="0" axis="axisRow" fieldPosition="0"/>
    </format>
    <format dxfId="205">
      <pivotArea dataOnly="0" labelOnly="1" fieldPosition="0">
        <references count="1">
          <reference field="3" count="0"/>
        </references>
      </pivotArea>
    </format>
    <format dxfId="204">
      <pivotArea dataOnly="0" labelOnly="1" fieldPosition="0">
        <references count="2">
          <reference field="3" count="0" selected="0"/>
          <reference field="5" count="0"/>
        </references>
      </pivotArea>
    </format>
    <format dxfId="203">
      <pivotArea dataOnly="0" labelOnly="1" fieldPosition="0">
        <references count="2">
          <reference field="3" count="0" selected="0"/>
          <reference field="5" count="0"/>
        </references>
      </pivotArea>
    </format>
    <format dxfId="202">
      <pivotArea field="3" type="button" dataOnly="0" labelOnly="1" outline="0" axis="axisRow" fieldPosition="0"/>
    </format>
    <format dxfId="201">
      <pivotArea field="3" type="button" dataOnly="0" labelOnly="1" outline="0" axis="axisRow" fieldPosition="0"/>
    </format>
    <format dxfId="200">
      <pivotArea field="3" type="button" dataOnly="0" labelOnly="1" outline="0" axis="axisRow" fieldPosition="0"/>
    </format>
    <format dxfId="199">
      <pivotArea field="3" type="button" dataOnly="0" labelOnly="1" outline="0" axis="axisRow" fieldPosition="0"/>
    </format>
    <format dxfId="198">
      <pivotArea outline="0" fieldPosition="0">
        <references count="1">
          <reference field="4294967294" count="1">
            <x v="0"/>
          </reference>
        </references>
      </pivotArea>
    </format>
    <format dxfId="197">
      <pivotArea outline="0" fieldPosition="0">
        <references count="1">
          <reference field="4294967294" count="1">
            <x v="0"/>
          </reference>
        </references>
      </pivotArea>
    </format>
    <format dxfId="196">
      <pivotArea outline="0" fieldPosition="0">
        <references count="1">
          <reference field="4294967294" count="1">
            <x v="1"/>
          </reference>
        </references>
      </pivotArea>
    </format>
    <format dxfId="195">
      <pivotArea outline="0" fieldPosition="0">
        <references count="1">
          <reference field="4294967294" count="1">
            <x v="2"/>
          </reference>
        </references>
      </pivotArea>
    </format>
    <format dxfId="1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Reprogramado_x000a_(Gasto de Inversión)" fld="49" baseField="3" baseItem="33" numFmtId="167"/>
    <dataField name="Presupuesto Ejercido (Gasto de Inversión)" fld="48" baseField="3" baseItem="33" numFmtId="167"/>
    <dataField name="Evolución del Gasto de Inversión" fld="76" subtotal="average" baseField="5" baseItem="4" numFmtId="168"/>
  </dataFields>
  <formats count="48">
    <format dxfId="191">
      <pivotArea type="all" dataOnly="0" outline="0" fieldPosition="0"/>
    </format>
    <format dxfId="190">
      <pivotArea outline="0" collapsedLevelsAreSubtotals="1" fieldPosition="0"/>
    </format>
    <format dxfId="189">
      <pivotArea type="origin" dataOnly="0" labelOnly="1" outline="0" fieldPosition="0"/>
    </format>
    <format dxfId="188">
      <pivotArea field="5" type="button" dataOnly="0" labelOnly="1" outline="0" axis="axisRow" fieldPosition="1"/>
    </format>
    <format dxfId="187">
      <pivotArea type="topRight" dataOnly="0" labelOnly="1" outline="0" fieldPosition="0"/>
    </format>
    <format dxfId="186">
      <pivotArea field="3" type="button" dataOnly="0" labelOnly="1" outline="0" axis="axisRow" fieldPosition="0"/>
    </format>
    <format dxfId="185">
      <pivotArea dataOnly="0" labelOnly="1" fieldPosition="0">
        <references count="1">
          <reference field="3" count="0"/>
        </references>
      </pivotArea>
    </format>
    <format dxfId="184">
      <pivotArea dataOnly="0" labelOnly="1" grandRow="1" outline="0" fieldPosition="0"/>
    </format>
    <format dxfId="183">
      <pivotArea dataOnly="0" labelOnly="1" fieldPosition="0">
        <references count="1">
          <reference field="5" count="0"/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origin" dataOnly="0" labelOnly="1" outline="0" fieldPosition="0"/>
    </format>
    <format dxfId="179">
      <pivotArea field="5" type="button" dataOnly="0" labelOnly="1" outline="0" axis="axisRow" fieldPosition="1"/>
    </format>
    <format dxfId="178">
      <pivotArea type="topRight" dataOnly="0" labelOnly="1" outline="0" fieldPosition="0"/>
    </format>
    <format dxfId="177">
      <pivotArea field="3" type="button" dataOnly="0" labelOnly="1" outline="0" axis="axisRow" fieldPosition="0"/>
    </format>
    <format dxfId="176">
      <pivotArea dataOnly="0" labelOnly="1" fieldPosition="0">
        <references count="1">
          <reference field="3" count="0"/>
        </references>
      </pivotArea>
    </format>
    <format dxfId="175">
      <pivotArea dataOnly="0" labelOnly="1" grandRow="1" outline="0" fieldPosition="0"/>
    </format>
    <format dxfId="174">
      <pivotArea dataOnly="0" labelOnly="1" fieldPosition="0">
        <references count="1">
          <reference field="5" count="0"/>
        </references>
      </pivotArea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type="origin" dataOnly="0" labelOnly="1" outline="0" fieldPosition="0"/>
    </format>
    <format dxfId="170">
      <pivotArea field="5" type="button" dataOnly="0" labelOnly="1" outline="0" axis="axisRow" fieldPosition="1"/>
    </format>
    <format dxfId="169">
      <pivotArea type="topRight" dataOnly="0" labelOnly="1" outline="0" fieldPosition="0"/>
    </format>
    <format dxfId="168">
      <pivotArea field="0" type="button" dataOnly="0" labelOnly="1" outline="0"/>
    </format>
    <format dxfId="167">
      <pivotArea dataOnly="0" labelOnly="1" grandRow="1" outline="0" fieldPosition="0"/>
    </format>
    <format dxfId="166">
      <pivotArea dataOnly="0" labelOnly="1" fieldPosition="0">
        <references count="1">
          <reference field="5" count="0"/>
        </references>
      </pivotArea>
    </format>
    <format dxfId="165">
      <pivotArea type="origin" dataOnly="0" labelOnly="1" outline="0" fieldPosition="0"/>
    </format>
    <format dxfId="164">
      <pivotArea dataOnly="0" labelOnly="1" fieldPosition="0">
        <references count="1">
          <reference field="5" count="1">
            <x v="0"/>
          </reference>
        </references>
      </pivotArea>
    </format>
    <format dxfId="163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162">
      <pivotArea field="3" type="button" dataOnly="0" labelOnly="1" outline="0" axis="axisRow" fieldPosition="0"/>
    </format>
    <format dxfId="161">
      <pivotArea field="3" type="button" dataOnly="0" labelOnly="1" outline="0" axis="axisRow" fieldPosition="0"/>
    </format>
    <format dxfId="160">
      <pivotArea field="3" type="button" dataOnly="0" labelOnly="1" outline="0" axis="axisRow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3" type="button" dataOnly="0" labelOnly="1" outline="0" axis="axisRow" fieldPosition="0"/>
    </format>
    <format dxfId="156">
      <pivotArea dataOnly="0" labelOnly="1" fieldPosition="0">
        <references count="1">
          <reference field="3" count="0"/>
        </references>
      </pivotArea>
    </format>
    <format dxfId="155">
      <pivotArea dataOnly="0" labelOnly="1" fieldPosition="0">
        <references count="2">
          <reference field="3" count="0" selected="0"/>
          <reference field="5" count="0"/>
        </references>
      </pivotArea>
    </format>
    <format dxfId="154">
      <pivotArea dataOnly="0" labelOnly="1" fieldPosition="0">
        <references count="2">
          <reference field="3" count="0" selected="0"/>
          <reference field="5" count="0"/>
        </references>
      </pivotArea>
    </format>
    <format dxfId="153">
      <pivotArea field="3" type="button" dataOnly="0" labelOnly="1" outline="0" axis="axisRow" fieldPosition="0"/>
    </format>
    <format dxfId="152">
      <pivotArea field="3" type="button" dataOnly="0" labelOnly="1" outline="0" axis="axisRow" fieldPosition="0"/>
    </format>
    <format dxfId="151">
      <pivotArea field="3" type="button" dataOnly="0" labelOnly="1" outline="0" axis="axisRow" fieldPosition="0"/>
    </format>
    <format dxfId="150">
      <pivotArea field="3" type="button" dataOnly="0" labelOnly="1" outline="0" axis="axisRow" fieldPosition="0"/>
    </format>
    <format dxfId="149">
      <pivotArea outline="0" fieldPosition="0">
        <references count="1">
          <reference field="4294967294" count="1">
            <x v="0"/>
          </reference>
        </references>
      </pivotArea>
    </format>
    <format dxfId="148">
      <pivotArea outline="0" fieldPosition="0">
        <references count="1">
          <reference field="4294967294" count="1">
            <x v="1"/>
          </reference>
        </references>
      </pivotArea>
    </format>
    <format dxfId="147">
      <pivotArea outline="0" fieldPosition="0">
        <references count="1">
          <reference field="4294967294" count="1">
            <x v="2"/>
          </reference>
        </references>
      </pivotArea>
    </format>
    <format dxfId="146">
      <pivotArea field="3" type="button" dataOnly="0" labelOnly="1" outline="0" axis="axisRow" fieldPosition="0"/>
    </format>
    <format dxfId="1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Ejercido Total" fld="51" baseField="3" baseItem="33" numFmtId="167"/>
    <dataField name="Ingresos Propios ejercidos" fld="50" baseField="3" baseItem="33" numFmtId="167"/>
    <dataField name="Índice de Autofinancimiento" fld="77" subtotal="average" baseField="5" baseItem="4" numFmtId="168"/>
  </dataFields>
  <formats count="48"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origin" dataOnly="0" labelOnly="1" outline="0" fieldPosition="0"/>
    </format>
    <format dxfId="140">
      <pivotArea field="5" type="button" dataOnly="0" labelOnly="1" outline="0" axis="axisRow" fieldPosition="1"/>
    </format>
    <format dxfId="139">
      <pivotArea type="topRight" dataOnly="0" labelOnly="1" outline="0" fieldPosition="0"/>
    </format>
    <format dxfId="138">
      <pivotArea field="3" type="button" dataOnly="0" labelOnly="1" outline="0" axis="axisRow" fieldPosition="0"/>
    </format>
    <format dxfId="137">
      <pivotArea dataOnly="0" labelOnly="1" fieldPosition="0">
        <references count="1">
          <reference field="3" count="0"/>
        </references>
      </pivotArea>
    </format>
    <format dxfId="136">
      <pivotArea dataOnly="0" labelOnly="1" grandRow="1" outline="0" fieldPosition="0"/>
    </format>
    <format dxfId="135">
      <pivotArea dataOnly="0" labelOnly="1" fieldPosition="0">
        <references count="1">
          <reference field="5" count="0"/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field="5" type="button" dataOnly="0" labelOnly="1" outline="0" axis="axisRow" fieldPosition="1"/>
    </format>
    <format dxfId="130">
      <pivotArea type="topRight" dataOnly="0" labelOnly="1" outline="0" fieldPosition="0"/>
    </format>
    <format dxfId="129">
      <pivotArea field="3" type="button" dataOnly="0" labelOnly="1" outline="0" axis="axisRow" fieldPosition="0"/>
    </format>
    <format dxfId="128">
      <pivotArea dataOnly="0" labelOnly="1" fieldPosition="0">
        <references count="1">
          <reference field="3" count="0"/>
        </references>
      </pivotArea>
    </format>
    <format dxfId="127">
      <pivotArea dataOnly="0" labelOnly="1" grandRow="1" outline="0" fieldPosition="0"/>
    </format>
    <format dxfId="126">
      <pivotArea dataOnly="0" labelOnly="1" fieldPosition="0">
        <references count="1">
          <reference field="5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5" type="button" dataOnly="0" labelOnly="1" outline="0" axis="axisRow" fieldPosition="1"/>
    </format>
    <format dxfId="121">
      <pivotArea type="topRight" dataOnly="0" labelOnly="1" outline="0" fieldPosition="0"/>
    </format>
    <format dxfId="120">
      <pivotArea field="0" type="button" dataOnly="0" labelOnly="1" outline="0"/>
    </format>
    <format dxfId="119">
      <pivotArea dataOnly="0" labelOnly="1" grandRow="1" outline="0" fieldPosition="0"/>
    </format>
    <format dxfId="118">
      <pivotArea dataOnly="0" labelOnly="1" fieldPosition="0">
        <references count="1">
          <reference field="5" count="0"/>
        </references>
      </pivotArea>
    </format>
    <format dxfId="117">
      <pivotArea type="origin" dataOnly="0" labelOnly="1" outline="0" fieldPosition="0"/>
    </format>
    <format dxfId="116">
      <pivotArea dataOnly="0" labelOnly="1" fieldPosition="0">
        <references count="1">
          <reference field="5" count="1">
            <x v="0"/>
          </reference>
        </references>
      </pivotArea>
    </format>
    <format dxfId="115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114">
      <pivotArea field="3" type="button" dataOnly="0" labelOnly="1" outline="0" axis="axisRow" fieldPosition="0"/>
    </format>
    <format dxfId="113">
      <pivotArea field="3" type="button" dataOnly="0" labelOnly="1" outline="0" axis="axisRow" fieldPosition="0"/>
    </format>
    <format dxfId="112">
      <pivotArea field="3" type="button" dataOnly="0" labelOnly="1" outline="0" axis="axisRow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3" type="button" dataOnly="0" labelOnly="1" outline="0" axis="axisRow" fieldPosition="0"/>
    </format>
    <format dxfId="108">
      <pivotArea dataOnly="0" labelOnly="1" fieldPosition="0">
        <references count="1">
          <reference field="3" count="0"/>
        </references>
      </pivotArea>
    </format>
    <format dxfId="107">
      <pivotArea dataOnly="0" labelOnly="1" fieldPosition="0">
        <references count="2">
          <reference field="3" count="0" selected="0"/>
          <reference field="5" count="0"/>
        </references>
      </pivotArea>
    </format>
    <format dxfId="106">
      <pivotArea dataOnly="0" labelOnly="1" fieldPosition="0">
        <references count="2">
          <reference field="3" count="0" selected="0"/>
          <reference field="5" count="0"/>
        </references>
      </pivotArea>
    </format>
    <format dxfId="105">
      <pivotArea field="3" type="button" dataOnly="0" labelOnly="1" outline="0" axis="axisRow" fieldPosition="0"/>
    </format>
    <format dxfId="104">
      <pivotArea field="3" type="button" dataOnly="0" labelOnly="1" outline="0" axis="axisRow" fieldPosition="0"/>
    </format>
    <format dxfId="103">
      <pivotArea field="3" type="button" dataOnly="0" labelOnly="1" outline="0" axis="axisRow" fieldPosition="0"/>
    </format>
    <format dxfId="102">
      <pivotArea field="3" type="button" dataOnly="0" labelOnly="1" outline="0" axis="axisRow" fieldPosition="0"/>
    </format>
    <format dxfId="101">
      <pivotArea field="3" type="button" dataOnly="0" labelOnly="1" outline="0" axis="axisRow" fieldPosition="0"/>
    </format>
    <format dxfId="100">
      <pivotArea outline="0" fieldPosition="0">
        <references count="1">
          <reference field="4294967294" count="1">
            <x v="0"/>
          </reference>
        </references>
      </pivotArea>
    </format>
    <format dxfId="99">
      <pivotArea outline="0" fieldPosition="0">
        <references count="1">
          <reference field="4294967294" count="1">
            <x v="1"/>
          </reference>
        </references>
      </pivotArea>
    </format>
    <format dxfId="98">
      <pivotArea outline="0" fieldPosition="0">
        <references count="1">
          <reference field="4294967294" count="1">
            <x v="2"/>
          </reference>
        </references>
      </pivotArea>
    </format>
    <format dxfId="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Ingresos Propios Programados" fld="53" baseField="3" baseItem="33" numFmtId="167"/>
    <dataField name="Ingresos Propios captados" fld="52" baseField="3" baseItem="33" numFmtId="167"/>
    <dataField name="Captación de Ingresos Propios" fld="78" baseField="0" baseItem="0" numFmtId="167"/>
  </dataFields>
  <formats count="47">
    <format dxfId="95">
      <pivotArea type="all" dataOnly="0" outline="0" fieldPosition="0"/>
    </format>
    <format dxfId="94">
      <pivotArea outline="0" collapsedLevelsAreSubtotals="1" fieldPosition="0"/>
    </format>
    <format dxfId="93">
      <pivotArea type="origin" dataOnly="0" labelOnly="1" outline="0" fieldPosition="0"/>
    </format>
    <format dxfId="92">
      <pivotArea field="5" type="button" dataOnly="0" labelOnly="1" outline="0" axis="axisRow" fieldPosition="1"/>
    </format>
    <format dxfId="91">
      <pivotArea type="topRight" dataOnly="0" labelOnly="1" outline="0" fieldPosition="0"/>
    </format>
    <format dxfId="90">
      <pivotArea field="3" type="button" dataOnly="0" labelOnly="1" outline="0" axis="axisRow" fieldPosition="0"/>
    </format>
    <format dxfId="89">
      <pivotArea dataOnly="0" labelOnly="1" fieldPosition="0">
        <references count="1">
          <reference field="3" count="0"/>
        </references>
      </pivotArea>
    </format>
    <format dxfId="88">
      <pivotArea dataOnly="0" labelOnly="1" grandRow="1" outline="0" fieldPosition="0"/>
    </format>
    <format dxfId="87">
      <pivotArea dataOnly="0" labelOnly="1" fieldPosition="0">
        <references count="1">
          <reference field="5" count="0"/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5" type="button" dataOnly="0" labelOnly="1" outline="0" axis="axisRow" fieldPosition="1"/>
    </format>
    <format dxfId="82">
      <pivotArea type="topRight" dataOnly="0" labelOnly="1" outline="0" fieldPosition="0"/>
    </format>
    <format dxfId="81">
      <pivotArea field="3" type="button" dataOnly="0" labelOnly="1" outline="0" axis="axisRow" fieldPosition="0"/>
    </format>
    <format dxfId="80">
      <pivotArea dataOnly="0" labelOnly="1" fieldPosition="0">
        <references count="1">
          <reference field="3" count="0"/>
        </references>
      </pivotArea>
    </format>
    <format dxfId="79">
      <pivotArea dataOnly="0" labelOnly="1" grandRow="1" outline="0" fieldPosition="0"/>
    </format>
    <format dxfId="78">
      <pivotArea dataOnly="0" labelOnly="1" fieldPosition="0">
        <references count="1">
          <reference field="5" count="0"/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5" type="button" dataOnly="0" labelOnly="1" outline="0" axis="axisRow" fieldPosition="1"/>
    </format>
    <format dxfId="73">
      <pivotArea type="topRight" dataOnly="0" labelOnly="1" outline="0" fieldPosition="0"/>
    </format>
    <format dxfId="72">
      <pivotArea field="0" type="button" dataOnly="0" labelOnly="1" outline="0"/>
    </format>
    <format dxfId="71">
      <pivotArea dataOnly="0" labelOnly="1" grandRow="1" outline="0" fieldPosition="0"/>
    </format>
    <format dxfId="70">
      <pivotArea dataOnly="0" labelOnly="1" fieldPosition="0">
        <references count="1">
          <reference field="5" count="0"/>
        </references>
      </pivotArea>
    </format>
    <format dxfId="69">
      <pivotArea type="origin" dataOnly="0" labelOnly="1" outline="0" fieldPosition="0"/>
    </format>
    <format dxfId="68">
      <pivotArea dataOnly="0" labelOnly="1" fieldPosition="0">
        <references count="1">
          <reference field="5" count="1">
            <x v="0"/>
          </reference>
        </references>
      </pivotArea>
    </format>
    <format dxfId="67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66">
      <pivotArea field="3" type="button" dataOnly="0" labelOnly="1" outline="0" axis="axisRow" fieldPosition="0"/>
    </format>
    <format dxfId="65">
      <pivotArea field="3" type="button" dataOnly="0" labelOnly="1" outline="0" axis="axisRow" fieldPosition="0"/>
    </format>
    <format dxfId="64">
      <pivotArea field="3" type="button" dataOnly="0" labelOnly="1" outline="0" axis="axisRow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3" type="button" dataOnly="0" labelOnly="1" outline="0" axis="axisRow" fieldPosition="0"/>
    </format>
    <format dxfId="60">
      <pivotArea dataOnly="0" labelOnly="1" fieldPosition="0">
        <references count="1">
          <reference field="3" count="0"/>
        </references>
      </pivotArea>
    </format>
    <format dxfId="59">
      <pivotArea dataOnly="0" labelOnly="1" fieldPosition="0">
        <references count="2">
          <reference field="3" count="0" selected="0"/>
          <reference field="5" count="0"/>
        </references>
      </pivotArea>
    </format>
    <format dxfId="58">
      <pivotArea dataOnly="0" labelOnly="1" fieldPosition="0">
        <references count="2">
          <reference field="3" count="0" selected="0"/>
          <reference field="5" count="0"/>
        </references>
      </pivotArea>
    </format>
    <format dxfId="57">
      <pivotArea field="3" type="button" dataOnly="0" labelOnly="1" outline="0" axis="axisRow" fieldPosition="0"/>
    </format>
    <format dxfId="56">
      <pivotArea field="3" type="button" dataOnly="0" labelOnly="1" outline="0" axis="axisRow" fieldPosition="0"/>
    </format>
    <format dxfId="55">
      <pivotArea field="3" type="button" dataOnly="0" labelOnly="1" outline="0" axis="axisRow" fieldPosition="0"/>
    </format>
    <format dxfId="54">
      <pivotArea field="3" type="button" dataOnly="0" labelOnly="1" outline="0" axis="axisRow" fieldPosition="0"/>
    </format>
    <format dxfId="53">
      <pivotArea field="3" type="button" dataOnly="0" labelOnly="1" outline="0" axis="axisRow" fieldPosition="0"/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rowGrandTotals="0" colGrandTotals="0" itemPrintTitles="1" createdVersion="6" indent="0" outline="1" outlineData="1" multipleFieldFilters="0" rowHeaderCaption="Año" colHeaderCaption="Año">
  <location ref="A8:D16" firstHeaderRow="0" firstDataRow="1" firstDataCol="1"/>
  <pivotFields count="80"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axis="axisRow" showAll="0" defaultSubtota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</items>
    </pivotField>
    <pivotField showAll="0" defaultSubtota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numFmtId="3" showAll="0" defaultSubtotal="0"/>
    <pivotField numFmtId="3"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numFmtId="3"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3"/>
    <field x="5"/>
  </rowFields>
  <rowItems count="8"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reprogramado (partidas restringidas)" fld="55" baseField="5" baseItem="0" numFmtId="167"/>
    <dataField name="Presupuesto Ejercido_x000a_(Partidas Restringidas)" fld="54" baseField="5" baseItem="0" numFmtId="167"/>
    <dataField name="Índice de Cumplimiento de Partidas Restringidas" fld="79" subtotal="average" baseField="5" baseItem="3" numFmtId="168"/>
  </dataFields>
  <formats count="49"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5" type="button" dataOnly="0" labelOnly="1" outline="0" axis="axisRow" fieldPosition="1"/>
    </format>
    <format dxfId="44">
      <pivotArea type="topRight" dataOnly="0" labelOnly="1" outline="0" fieldPosition="0"/>
    </format>
    <format dxfId="43">
      <pivotArea field="3" type="button" dataOnly="0" labelOnly="1" outline="0" axis="axisRow" fieldPosition="0"/>
    </format>
    <format dxfId="42">
      <pivotArea dataOnly="0" labelOnly="1" fieldPosition="0">
        <references count="1">
          <reference field="3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1">
          <reference field="5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5" type="button" dataOnly="0" labelOnly="1" outline="0" axis="axisRow" fieldPosition="1"/>
    </format>
    <format dxfId="35">
      <pivotArea type="topRight" dataOnly="0" labelOnly="1" outline="0" fieldPosition="0"/>
    </format>
    <format dxfId="34">
      <pivotArea field="3" type="button" dataOnly="0" labelOnly="1" outline="0" axis="axisRow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1">
          <reference field="5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5" type="button" dataOnly="0" labelOnly="1" outline="0" axis="axisRow" fieldPosition="1"/>
    </format>
    <format dxfId="26">
      <pivotArea type="topRight" dataOnly="0" labelOnly="1" outline="0" fieldPosition="0"/>
    </format>
    <format dxfId="25">
      <pivotArea field="0" type="button" dataOnly="0" labelOnly="1" outline="0"/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type="origin" dataOnly="0" labelOnly="1" outline="0" fieldPosition="0"/>
    </format>
    <format dxfId="21">
      <pivotArea dataOnly="0" labelOnly="1" fieldPosition="0">
        <references count="1">
          <reference field="5" count="1">
            <x v="0"/>
          </reference>
        </references>
      </pivotArea>
    </format>
    <format dxfId="20">
      <pivotArea dataOnly="0" labelOnly="1" fieldPosition="0">
        <references count="2">
          <reference field="3" count="0" selected="0"/>
          <reference field="5" count="1">
            <x v="0"/>
          </reference>
        </references>
      </pivotArea>
    </format>
    <format dxfId="19">
      <pivotArea field="3" type="button" dataOnly="0" labelOnly="1" outline="0" axis="axisRow" fieldPosition="0"/>
    </format>
    <format dxfId="18">
      <pivotArea field="3" type="button" dataOnly="0" labelOnly="1" outline="0" axis="axisRow" fieldPosition="0"/>
    </format>
    <format dxfId="17">
      <pivotArea field="3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3" type="button" dataOnly="0" labelOnly="1" outline="0" axis="axisRow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fieldPosition="0">
        <references count="2">
          <reference field="3" count="0" selected="0"/>
          <reference field="5" count="0"/>
        </references>
      </pivotArea>
    </format>
    <format dxfId="11">
      <pivotArea dataOnly="0" labelOnly="1" fieldPosition="0">
        <references count="2">
          <reference field="3" count="0" selected="0"/>
          <reference field="5" count="0"/>
        </references>
      </pivotArea>
    </format>
    <format dxfId="10">
      <pivotArea field="3" type="button" dataOnly="0" labelOnly="1" outline="0" axis="axisRow" fieldPosition="0"/>
    </format>
    <format dxfId="9">
      <pivotArea field="3" type="button" dataOnly="0" labelOnly="1" outline="0" axis="axisRow" fieldPosition="0"/>
    </format>
    <format dxfId="8">
      <pivotArea field="3" type="button" dataOnly="0" labelOnly="1" outline="0" axis="axisRow" fieldPosition="0"/>
    </format>
    <format dxfId="7">
      <pivotArea field="3" type="button" dataOnly="0" labelOnly="1" outline="0" axis="axisRow" fieldPosition="0"/>
    </format>
    <format dxfId="6">
      <pivotArea field="3" type="button" dataOnly="0" labelOnly="1" outline="0" axis="axisRow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ATN" fld="59" subtotal="average" baseField="0" baseItem="0" numFmtId="4"/>
  </dataFields>
  <formats count="34">
    <format dxfId="1326">
      <pivotArea type="all" dataOnly="0" outline="0" fieldPosition="0"/>
    </format>
    <format dxfId="1325">
      <pivotArea outline="0" collapsedLevelsAreSubtotals="1" fieldPosition="0"/>
    </format>
    <format dxfId="1324">
      <pivotArea type="origin" dataOnly="0" labelOnly="1" outline="0" fieldPosition="0"/>
    </format>
    <format dxfId="1323">
      <pivotArea field="5" type="button" dataOnly="0" labelOnly="1" outline="0" axis="axisCol" fieldPosition="0"/>
    </format>
    <format dxfId="1322">
      <pivotArea type="topRight" dataOnly="0" labelOnly="1" outline="0" fieldPosition="0"/>
    </format>
    <format dxfId="1321">
      <pivotArea field="3" type="button" dataOnly="0" labelOnly="1" outline="0" axis="axisRow" fieldPosition="1"/>
    </format>
    <format dxfId="1320">
      <pivotArea dataOnly="0" labelOnly="1" fieldPosition="0">
        <references count="1">
          <reference field="3" count="0"/>
        </references>
      </pivotArea>
    </format>
    <format dxfId="1319">
      <pivotArea dataOnly="0" labelOnly="1" grandRow="1" outline="0" fieldPosition="0"/>
    </format>
    <format dxfId="1318">
      <pivotArea dataOnly="0" labelOnly="1" fieldPosition="0">
        <references count="1">
          <reference field="5" count="0"/>
        </references>
      </pivotArea>
    </format>
    <format dxfId="1317">
      <pivotArea type="all" dataOnly="0" outline="0" fieldPosition="0"/>
    </format>
    <format dxfId="1316">
      <pivotArea outline="0" collapsedLevelsAreSubtotals="1" fieldPosition="0"/>
    </format>
    <format dxfId="1315">
      <pivotArea type="origin" dataOnly="0" labelOnly="1" outline="0" fieldPosition="0"/>
    </format>
    <format dxfId="1314">
      <pivotArea field="5" type="button" dataOnly="0" labelOnly="1" outline="0" axis="axisCol" fieldPosition="0"/>
    </format>
    <format dxfId="1313">
      <pivotArea type="topRight" dataOnly="0" labelOnly="1" outline="0" fieldPosition="0"/>
    </format>
    <format dxfId="1312">
      <pivotArea field="3" type="button" dataOnly="0" labelOnly="1" outline="0" axis="axisRow" fieldPosition="1"/>
    </format>
    <format dxfId="1311">
      <pivotArea dataOnly="0" labelOnly="1" fieldPosition="0">
        <references count="1">
          <reference field="3" count="0"/>
        </references>
      </pivotArea>
    </format>
    <format dxfId="1310">
      <pivotArea dataOnly="0" labelOnly="1" grandRow="1" outline="0" fieldPosition="0"/>
    </format>
    <format dxfId="1309">
      <pivotArea dataOnly="0" labelOnly="1" fieldPosition="0">
        <references count="1">
          <reference field="5" count="0"/>
        </references>
      </pivotArea>
    </format>
    <format dxfId="1308">
      <pivotArea type="all" dataOnly="0" outline="0" fieldPosition="0"/>
    </format>
    <format dxfId="1307">
      <pivotArea outline="0" collapsedLevelsAreSubtotals="1" fieldPosition="0"/>
    </format>
    <format dxfId="1306">
      <pivotArea type="origin" dataOnly="0" labelOnly="1" outline="0" fieldPosition="0"/>
    </format>
    <format dxfId="1305">
      <pivotArea field="5" type="button" dataOnly="0" labelOnly="1" outline="0" axis="axisCol" fieldPosition="0"/>
    </format>
    <format dxfId="1304">
      <pivotArea type="topRight" dataOnly="0" labelOnly="1" outline="0" fieldPosition="0"/>
    </format>
    <format dxfId="1303">
      <pivotArea field="0" type="button" dataOnly="0" labelOnly="1" outline="0" axis="axisRow" fieldPosition="0"/>
    </format>
    <format dxfId="1302">
      <pivotArea dataOnly="0" labelOnly="1" fieldPosition="0">
        <references count="1">
          <reference field="0" count="0"/>
        </references>
      </pivotArea>
    </format>
    <format dxfId="1301">
      <pivotArea dataOnly="0" labelOnly="1" grandRow="1" outline="0" fieldPosition="0"/>
    </format>
    <format dxfId="1300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299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298">
      <pivotArea dataOnly="0" labelOnly="1" fieldPosition="0">
        <references count="1">
          <reference field="5" count="0"/>
        </references>
      </pivotArea>
    </format>
    <format dxfId="1297">
      <pivotArea type="origin" dataOnly="0" labelOnly="1" outline="0" fieldPosition="0"/>
    </format>
    <format dxfId="1296">
      <pivotArea collapsedLevelsAreSubtotals="1" fieldPosition="0">
        <references count="1">
          <reference field="0" count="1">
            <x v="1"/>
          </reference>
        </references>
      </pivotArea>
    </format>
    <format dxfId="1295">
      <pivotArea collapsedLevelsAreSubtotals="1" fieldPosition="0">
        <references count="1">
          <reference field="0" count="1">
            <x v="1"/>
          </reference>
        </references>
      </pivotArea>
    </format>
    <format dxfId="1294">
      <pivotArea collapsedLevelsAreSubtotals="1" fieldPosition="0">
        <references count="1">
          <reference field="0" count="1">
            <x v="1"/>
          </reference>
        </references>
      </pivotArea>
    </format>
    <format dxfId="129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ABS" fld="60" subtotal="average" baseField="3" baseItem="0" numFmtId="2"/>
  </dataFields>
  <formats count="34">
    <format dxfId="1284">
      <pivotArea type="all" dataOnly="0" outline="0" fieldPosition="0"/>
    </format>
    <format dxfId="1283">
      <pivotArea outline="0" collapsedLevelsAreSubtotals="1" fieldPosition="0"/>
    </format>
    <format dxfId="1282">
      <pivotArea type="origin" dataOnly="0" labelOnly="1" outline="0" fieldPosition="0"/>
    </format>
    <format dxfId="1281">
      <pivotArea field="5" type="button" dataOnly="0" labelOnly="1" outline="0" axis="axisCol" fieldPosition="0"/>
    </format>
    <format dxfId="1280">
      <pivotArea type="topRight" dataOnly="0" labelOnly="1" outline="0" fieldPosition="0"/>
    </format>
    <format dxfId="1279">
      <pivotArea field="3" type="button" dataOnly="0" labelOnly="1" outline="0" axis="axisRow" fieldPosition="1"/>
    </format>
    <format dxfId="1278">
      <pivotArea dataOnly="0" labelOnly="1" fieldPosition="0">
        <references count="1">
          <reference field="3" count="0"/>
        </references>
      </pivotArea>
    </format>
    <format dxfId="1277">
      <pivotArea dataOnly="0" labelOnly="1" grandRow="1" outline="0" fieldPosition="0"/>
    </format>
    <format dxfId="1276">
      <pivotArea dataOnly="0" labelOnly="1" fieldPosition="0">
        <references count="1">
          <reference field="5" count="0"/>
        </references>
      </pivotArea>
    </format>
    <format dxfId="1275">
      <pivotArea type="all" dataOnly="0" outline="0" fieldPosition="0"/>
    </format>
    <format dxfId="1274">
      <pivotArea outline="0" collapsedLevelsAreSubtotals="1" fieldPosition="0"/>
    </format>
    <format dxfId="1273">
      <pivotArea type="origin" dataOnly="0" labelOnly="1" outline="0" fieldPosition="0"/>
    </format>
    <format dxfId="1272">
      <pivotArea field="5" type="button" dataOnly="0" labelOnly="1" outline="0" axis="axisCol" fieldPosition="0"/>
    </format>
    <format dxfId="1271">
      <pivotArea type="topRight" dataOnly="0" labelOnly="1" outline="0" fieldPosition="0"/>
    </format>
    <format dxfId="1270">
      <pivotArea field="3" type="button" dataOnly="0" labelOnly="1" outline="0" axis="axisRow" fieldPosition="1"/>
    </format>
    <format dxfId="1269">
      <pivotArea dataOnly="0" labelOnly="1" fieldPosition="0">
        <references count="1">
          <reference field="3" count="0"/>
        </references>
      </pivotArea>
    </format>
    <format dxfId="1268">
      <pivotArea dataOnly="0" labelOnly="1" grandRow="1" outline="0" fieldPosition="0"/>
    </format>
    <format dxfId="1267">
      <pivotArea dataOnly="0" labelOnly="1" fieldPosition="0">
        <references count="1">
          <reference field="5" count="0"/>
        </references>
      </pivotArea>
    </format>
    <format dxfId="1266">
      <pivotArea type="all" dataOnly="0" outline="0" fieldPosition="0"/>
    </format>
    <format dxfId="1265">
      <pivotArea outline="0" collapsedLevelsAreSubtotals="1" fieldPosition="0"/>
    </format>
    <format dxfId="1264">
      <pivotArea type="origin" dataOnly="0" labelOnly="1" outline="0" fieldPosition="0"/>
    </format>
    <format dxfId="1263">
      <pivotArea field="5" type="button" dataOnly="0" labelOnly="1" outline="0" axis="axisCol" fieldPosition="0"/>
    </format>
    <format dxfId="1262">
      <pivotArea type="topRight" dataOnly="0" labelOnly="1" outline="0" fieldPosition="0"/>
    </format>
    <format dxfId="1261">
      <pivotArea field="0" type="button" dataOnly="0" labelOnly="1" outline="0" axis="axisRow" fieldPosition="0"/>
    </format>
    <format dxfId="1260">
      <pivotArea dataOnly="0" labelOnly="1" fieldPosition="0">
        <references count="1">
          <reference field="0" count="0"/>
        </references>
      </pivotArea>
    </format>
    <format dxfId="1259">
      <pivotArea dataOnly="0" labelOnly="1" grandRow="1" outline="0" fieldPosition="0"/>
    </format>
    <format dxfId="1258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257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256">
      <pivotArea dataOnly="0" labelOnly="1" fieldPosition="0">
        <references count="1">
          <reference field="5" count="0"/>
        </references>
      </pivotArea>
    </format>
    <format dxfId="1255">
      <pivotArea type="origin" dataOnly="0" labelOnly="1" outline="0" fieldPosition="0"/>
    </format>
    <format dxfId="1254">
      <pivotArea collapsedLevelsAreSubtotals="1" fieldPosition="0">
        <references count="1">
          <reference field="0" count="1">
            <x v="1"/>
          </reference>
        </references>
      </pivotArea>
    </format>
    <format dxfId="1253">
      <pivotArea collapsedLevelsAreSubtotals="1" fieldPosition="0">
        <references count="1">
          <reference field="0" count="1">
            <x v="1"/>
          </reference>
        </references>
      </pivotArea>
    </format>
    <format dxfId="1252">
      <pivotArea collapsedLevelsAreSubtotals="1" fieldPosition="0">
        <references count="1">
          <reference field="0" count="1">
            <x v="1"/>
          </reference>
        </references>
      </pivotArea>
    </format>
    <format dxfId="125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de matricula" fld="6" baseField="3" baseItem="0" numFmtId="3"/>
  </dataFields>
  <formats count="34">
    <format dxfId="1242">
      <pivotArea type="all" dataOnly="0" outline="0" fieldPosition="0"/>
    </format>
    <format dxfId="1241">
      <pivotArea outline="0" collapsedLevelsAreSubtotals="1" fieldPosition="0"/>
    </format>
    <format dxfId="1240">
      <pivotArea type="origin" dataOnly="0" labelOnly="1" outline="0" fieldPosition="0"/>
    </format>
    <format dxfId="1239">
      <pivotArea field="5" type="button" dataOnly="0" labelOnly="1" outline="0" axis="axisCol" fieldPosition="0"/>
    </format>
    <format dxfId="1238">
      <pivotArea type="topRight" dataOnly="0" labelOnly="1" outline="0" fieldPosition="0"/>
    </format>
    <format dxfId="1237">
      <pivotArea field="3" type="button" dataOnly="0" labelOnly="1" outline="0" axis="axisRow" fieldPosition="1"/>
    </format>
    <format dxfId="1236">
      <pivotArea dataOnly="0" labelOnly="1" fieldPosition="0">
        <references count="1">
          <reference field="3" count="0"/>
        </references>
      </pivotArea>
    </format>
    <format dxfId="1235">
      <pivotArea dataOnly="0" labelOnly="1" grandRow="1" outline="0" fieldPosition="0"/>
    </format>
    <format dxfId="1234">
      <pivotArea dataOnly="0" labelOnly="1" fieldPosition="0">
        <references count="1">
          <reference field="5" count="0"/>
        </references>
      </pivotArea>
    </format>
    <format dxfId="1233">
      <pivotArea type="all" dataOnly="0" outline="0" fieldPosition="0"/>
    </format>
    <format dxfId="1232">
      <pivotArea outline="0" collapsedLevelsAreSubtotals="1" fieldPosition="0"/>
    </format>
    <format dxfId="1231">
      <pivotArea type="origin" dataOnly="0" labelOnly="1" outline="0" fieldPosition="0"/>
    </format>
    <format dxfId="1230">
      <pivotArea field="5" type="button" dataOnly="0" labelOnly="1" outline="0" axis="axisCol" fieldPosition="0"/>
    </format>
    <format dxfId="1229">
      <pivotArea type="topRight" dataOnly="0" labelOnly="1" outline="0" fieldPosition="0"/>
    </format>
    <format dxfId="1228">
      <pivotArea field="3" type="button" dataOnly="0" labelOnly="1" outline="0" axis="axisRow" fieldPosition="1"/>
    </format>
    <format dxfId="1227">
      <pivotArea dataOnly="0" labelOnly="1" fieldPosition="0">
        <references count="1">
          <reference field="3" count="0"/>
        </references>
      </pivotArea>
    </format>
    <format dxfId="1226">
      <pivotArea dataOnly="0" labelOnly="1" grandRow="1" outline="0" fieldPosition="0"/>
    </format>
    <format dxfId="1225">
      <pivotArea dataOnly="0" labelOnly="1" fieldPosition="0">
        <references count="1">
          <reference field="5" count="0"/>
        </references>
      </pivotArea>
    </format>
    <format dxfId="1224">
      <pivotArea type="all" dataOnly="0" outline="0" fieldPosition="0"/>
    </format>
    <format dxfId="1223">
      <pivotArea outline="0" collapsedLevelsAreSubtotals="1" fieldPosition="0"/>
    </format>
    <format dxfId="1222">
      <pivotArea type="origin" dataOnly="0" labelOnly="1" outline="0" fieldPosition="0"/>
    </format>
    <format dxfId="1221">
      <pivotArea field="5" type="button" dataOnly="0" labelOnly="1" outline="0" axis="axisCol" fieldPosition="0"/>
    </format>
    <format dxfId="1220">
      <pivotArea type="topRight" dataOnly="0" labelOnly="1" outline="0" fieldPosition="0"/>
    </format>
    <format dxfId="1219">
      <pivotArea field="0" type="button" dataOnly="0" labelOnly="1" outline="0" axis="axisRow" fieldPosition="0"/>
    </format>
    <format dxfId="1218">
      <pivotArea dataOnly="0" labelOnly="1" fieldPosition="0">
        <references count="1">
          <reference field="0" count="0"/>
        </references>
      </pivotArea>
    </format>
    <format dxfId="1217">
      <pivotArea dataOnly="0" labelOnly="1" grandRow="1" outline="0" fieldPosition="0"/>
    </format>
    <format dxfId="1216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215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214">
      <pivotArea dataOnly="0" labelOnly="1" fieldPosition="0">
        <references count="1">
          <reference field="5" count="0"/>
        </references>
      </pivotArea>
    </format>
    <format dxfId="1213">
      <pivotArea type="origin" dataOnly="0" labelOnly="1" outline="0" fieldPosition="0"/>
    </format>
    <format dxfId="1212">
      <pivotArea collapsedLevelsAreSubtotals="1" fieldPosition="0">
        <references count="1">
          <reference field="0" count="1">
            <x v="1"/>
          </reference>
        </references>
      </pivotArea>
    </format>
    <format dxfId="1211">
      <pivotArea collapsedLevelsAreSubtotals="1" fieldPosition="0">
        <references count="1">
          <reference field="0" count="1">
            <x v="1"/>
          </reference>
        </references>
      </pivotArea>
    </format>
    <format dxfId="1210">
      <pivotArea collapsedLevelsAreSubtotals="1" fieldPosition="0">
        <references count="1">
          <reference field="0" count="1">
            <x v="1"/>
          </reference>
        </references>
      </pivotArea>
    </format>
    <format dxfId="120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ACI" fld="61" subtotal="average" baseField="0" baseItem="0" numFmtId="164"/>
  </dataFields>
  <formats count="35">
    <format dxfId="1200">
      <pivotArea type="all" dataOnly="0" outline="0" fieldPosition="0"/>
    </format>
    <format dxfId="1199">
      <pivotArea outline="0" collapsedLevelsAreSubtotals="1" fieldPosition="0"/>
    </format>
    <format dxfId="1198">
      <pivotArea type="origin" dataOnly="0" labelOnly="1" outline="0" fieldPosition="0"/>
    </format>
    <format dxfId="1197">
      <pivotArea field="5" type="button" dataOnly="0" labelOnly="1" outline="0" axis="axisCol" fieldPosition="0"/>
    </format>
    <format dxfId="1196">
      <pivotArea type="topRight" dataOnly="0" labelOnly="1" outline="0" fieldPosition="0"/>
    </format>
    <format dxfId="1195">
      <pivotArea field="3" type="button" dataOnly="0" labelOnly="1" outline="0" axis="axisRow" fieldPosition="1"/>
    </format>
    <format dxfId="1194">
      <pivotArea dataOnly="0" labelOnly="1" fieldPosition="0">
        <references count="1">
          <reference field="3" count="0"/>
        </references>
      </pivotArea>
    </format>
    <format dxfId="1193">
      <pivotArea dataOnly="0" labelOnly="1" grandRow="1" outline="0" fieldPosition="0"/>
    </format>
    <format dxfId="1192">
      <pivotArea dataOnly="0" labelOnly="1" fieldPosition="0">
        <references count="1">
          <reference field="5" count="0"/>
        </references>
      </pivotArea>
    </format>
    <format dxfId="1191">
      <pivotArea type="all" dataOnly="0" outline="0" fieldPosition="0"/>
    </format>
    <format dxfId="1190">
      <pivotArea outline="0" collapsedLevelsAreSubtotals="1" fieldPosition="0"/>
    </format>
    <format dxfId="1189">
      <pivotArea type="origin" dataOnly="0" labelOnly="1" outline="0" fieldPosition="0"/>
    </format>
    <format dxfId="1188">
      <pivotArea field="5" type="button" dataOnly="0" labelOnly="1" outline="0" axis="axisCol" fieldPosition="0"/>
    </format>
    <format dxfId="1187">
      <pivotArea type="topRight" dataOnly="0" labelOnly="1" outline="0" fieldPosition="0"/>
    </format>
    <format dxfId="1186">
      <pivotArea field="3" type="button" dataOnly="0" labelOnly="1" outline="0" axis="axisRow" fieldPosition="1"/>
    </format>
    <format dxfId="1185">
      <pivotArea dataOnly="0" labelOnly="1" fieldPosition="0">
        <references count="1">
          <reference field="3" count="0"/>
        </references>
      </pivotArea>
    </format>
    <format dxfId="1184">
      <pivotArea dataOnly="0" labelOnly="1" grandRow="1" outline="0" fieldPosition="0"/>
    </format>
    <format dxfId="1183">
      <pivotArea dataOnly="0" labelOnly="1" fieldPosition="0">
        <references count="1">
          <reference field="5" count="0"/>
        </references>
      </pivotArea>
    </format>
    <format dxfId="1182">
      <pivotArea type="all" dataOnly="0" outline="0" fieldPosition="0"/>
    </format>
    <format dxfId="1181">
      <pivotArea outline="0" collapsedLevelsAreSubtotals="1" fieldPosition="0"/>
    </format>
    <format dxfId="1180">
      <pivotArea type="origin" dataOnly="0" labelOnly="1" outline="0" fieldPosition="0"/>
    </format>
    <format dxfId="1179">
      <pivotArea field="5" type="button" dataOnly="0" labelOnly="1" outline="0" axis="axisCol" fieldPosition="0"/>
    </format>
    <format dxfId="1178">
      <pivotArea type="topRight" dataOnly="0" labelOnly="1" outline="0" fieldPosition="0"/>
    </format>
    <format dxfId="1177">
      <pivotArea field="0" type="button" dataOnly="0" labelOnly="1" outline="0" axis="axisRow" fieldPosition="0"/>
    </format>
    <format dxfId="1176">
      <pivotArea dataOnly="0" labelOnly="1" fieldPosition="0">
        <references count="1">
          <reference field="0" count="0"/>
        </references>
      </pivotArea>
    </format>
    <format dxfId="1175">
      <pivotArea dataOnly="0" labelOnly="1" grandRow="1" outline="0" fieldPosition="0"/>
    </format>
    <format dxfId="1174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173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172">
      <pivotArea dataOnly="0" labelOnly="1" fieldPosition="0">
        <references count="1">
          <reference field="5" count="0"/>
        </references>
      </pivotArea>
    </format>
    <format dxfId="1171">
      <pivotArea type="origin" dataOnly="0" labelOnly="1" outline="0" fieldPosition="0"/>
    </format>
    <format dxfId="1170">
      <pivotArea collapsedLevelsAreSubtotals="1" fieldPosition="0">
        <references count="1">
          <reference field="0" count="1">
            <x v="1"/>
          </reference>
        </references>
      </pivotArea>
    </format>
    <format dxfId="1169">
      <pivotArea collapsedLevelsAreSubtotals="1" fieldPosition="0">
        <references count="1">
          <reference field="0" count="1">
            <x v="1"/>
          </reference>
        </references>
      </pivotArea>
    </format>
    <format dxfId="1168">
      <pivotArea collapsedLevelsAreSubtotals="1" fieldPosition="0">
        <references count="1">
          <reference field="0" count="1">
            <x v="1"/>
          </reference>
        </references>
      </pivotArea>
    </format>
    <format dxfId="1167">
      <pivotArea outline="0" fieldPosition="0">
        <references count="1">
          <reference field="4294967294" count="1">
            <x v="0"/>
          </reference>
        </references>
      </pivotArea>
    </format>
    <format dxfId="116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AE" fld="56" subtotal="average" baseField="3" baseItem="0" numFmtId="164"/>
  </dataFields>
  <formats count="34">
    <format dxfId="1157">
      <pivotArea type="all" dataOnly="0" outline="0" fieldPosition="0"/>
    </format>
    <format dxfId="1156">
      <pivotArea outline="0" collapsedLevelsAreSubtotals="1" fieldPosition="0"/>
    </format>
    <format dxfId="1155">
      <pivotArea type="origin" dataOnly="0" labelOnly="1" outline="0" fieldPosition="0"/>
    </format>
    <format dxfId="1154">
      <pivotArea field="5" type="button" dataOnly="0" labelOnly="1" outline="0" axis="axisCol" fieldPosition="0"/>
    </format>
    <format dxfId="1153">
      <pivotArea type="topRight" dataOnly="0" labelOnly="1" outline="0" fieldPosition="0"/>
    </format>
    <format dxfId="1152">
      <pivotArea field="3" type="button" dataOnly="0" labelOnly="1" outline="0" axis="axisRow" fieldPosition="1"/>
    </format>
    <format dxfId="1151">
      <pivotArea dataOnly="0" labelOnly="1" fieldPosition="0">
        <references count="1">
          <reference field="3" count="0"/>
        </references>
      </pivotArea>
    </format>
    <format dxfId="1150">
      <pivotArea dataOnly="0" labelOnly="1" grandRow="1" outline="0" fieldPosition="0"/>
    </format>
    <format dxfId="1149">
      <pivotArea dataOnly="0" labelOnly="1" fieldPosition="0">
        <references count="1">
          <reference field="5" count="0"/>
        </references>
      </pivotArea>
    </format>
    <format dxfId="1148">
      <pivotArea type="all" dataOnly="0" outline="0" fieldPosition="0"/>
    </format>
    <format dxfId="1147">
      <pivotArea outline="0" collapsedLevelsAreSubtotals="1" fieldPosition="0"/>
    </format>
    <format dxfId="1146">
      <pivotArea type="origin" dataOnly="0" labelOnly="1" outline="0" fieldPosition="0"/>
    </format>
    <format dxfId="1145">
      <pivotArea field="5" type="button" dataOnly="0" labelOnly="1" outline="0" axis="axisCol" fieldPosition="0"/>
    </format>
    <format dxfId="1144">
      <pivotArea type="topRight" dataOnly="0" labelOnly="1" outline="0" fieldPosition="0"/>
    </format>
    <format dxfId="1143">
      <pivotArea field="3" type="button" dataOnly="0" labelOnly="1" outline="0" axis="axisRow" fieldPosition="1"/>
    </format>
    <format dxfId="1142">
      <pivotArea dataOnly="0" labelOnly="1" fieldPosition="0">
        <references count="1">
          <reference field="3" count="0"/>
        </references>
      </pivotArea>
    </format>
    <format dxfId="1141">
      <pivotArea dataOnly="0" labelOnly="1" grandRow="1" outline="0" fieldPosition="0"/>
    </format>
    <format dxfId="1140">
      <pivotArea dataOnly="0" labelOnly="1" fieldPosition="0">
        <references count="1">
          <reference field="5" count="0"/>
        </references>
      </pivotArea>
    </format>
    <format dxfId="1139">
      <pivotArea type="all" dataOnly="0" outline="0" fieldPosition="0"/>
    </format>
    <format dxfId="1138">
      <pivotArea outline="0" collapsedLevelsAreSubtotals="1" fieldPosition="0"/>
    </format>
    <format dxfId="1137">
      <pivotArea type="origin" dataOnly="0" labelOnly="1" outline="0" fieldPosition="0"/>
    </format>
    <format dxfId="1136">
      <pivotArea field="5" type="button" dataOnly="0" labelOnly="1" outline="0" axis="axisCol" fieldPosition="0"/>
    </format>
    <format dxfId="1135">
      <pivotArea type="topRight" dataOnly="0" labelOnly="1" outline="0" fieldPosition="0"/>
    </format>
    <format dxfId="1134">
      <pivotArea field="0" type="button" dataOnly="0" labelOnly="1" outline="0" axis="axisRow" fieldPosition="0"/>
    </format>
    <format dxfId="1133">
      <pivotArea dataOnly="0" labelOnly="1" fieldPosition="0">
        <references count="1">
          <reference field="0" count="0"/>
        </references>
      </pivotArea>
    </format>
    <format dxfId="1132">
      <pivotArea dataOnly="0" labelOnly="1" grandRow="1" outline="0" fieldPosition="0"/>
    </format>
    <format dxfId="1131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130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129">
      <pivotArea dataOnly="0" labelOnly="1" fieldPosition="0">
        <references count="1">
          <reference field="5" count="0"/>
        </references>
      </pivotArea>
    </format>
    <format dxfId="1128">
      <pivotArea type="origin" dataOnly="0" labelOnly="1" outline="0" fieldPosition="0"/>
    </format>
    <format dxfId="1127">
      <pivotArea collapsedLevelsAreSubtotals="1" fieldPosition="0">
        <references count="1">
          <reference field="0" count="1">
            <x v="1"/>
          </reference>
        </references>
      </pivotArea>
    </format>
    <format dxfId="1126">
      <pivotArea collapsedLevelsAreSubtotals="1" fieldPosition="0">
        <references count="1">
          <reference field="0" count="1">
            <x v="1"/>
          </reference>
        </references>
      </pivotArea>
    </format>
    <format dxfId="1125">
      <pivotArea collapsedLevelsAreSubtotals="1" fieldPosition="0">
        <references count="1">
          <reference field="0" count="1">
            <x v="1"/>
          </reference>
        </references>
      </pivotArea>
    </format>
    <format dxfId="112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REP" fld="62" subtotal="average" baseField="3" baseItem="0" numFmtId="164"/>
  </dataFields>
  <formats count="34">
    <format dxfId="1115">
      <pivotArea type="all" dataOnly="0" outline="0" fieldPosition="0"/>
    </format>
    <format dxfId="1114">
      <pivotArea outline="0" collapsedLevelsAreSubtotals="1" fieldPosition="0"/>
    </format>
    <format dxfId="1113">
      <pivotArea type="origin" dataOnly="0" labelOnly="1" outline="0" fieldPosition="0"/>
    </format>
    <format dxfId="1112">
      <pivotArea field="5" type="button" dataOnly="0" labelOnly="1" outline="0" axis="axisCol" fieldPosition="0"/>
    </format>
    <format dxfId="1111">
      <pivotArea type="topRight" dataOnly="0" labelOnly="1" outline="0" fieldPosition="0"/>
    </format>
    <format dxfId="1110">
      <pivotArea field="3" type="button" dataOnly="0" labelOnly="1" outline="0" axis="axisRow" fieldPosition="1"/>
    </format>
    <format dxfId="1109">
      <pivotArea dataOnly="0" labelOnly="1" fieldPosition="0">
        <references count="1">
          <reference field="3" count="0"/>
        </references>
      </pivotArea>
    </format>
    <format dxfId="1108">
      <pivotArea dataOnly="0" labelOnly="1" grandRow="1" outline="0" fieldPosition="0"/>
    </format>
    <format dxfId="1107">
      <pivotArea dataOnly="0" labelOnly="1" fieldPosition="0">
        <references count="1">
          <reference field="5" count="0"/>
        </references>
      </pivotArea>
    </format>
    <format dxfId="1106">
      <pivotArea type="all" dataOnly="0" outline="0" fieldPosition="0"/>
    </format>
    <format dxfId="1105">
      <pivotArea outline="0" collapsedLevelsAreSubtotals="1" fieldPosition="0"/>
    </format>
    <format dxfId="1104">
      <pivotArea type="origin" dataOnly="0" labelOnly="1" outline="0" fieldPosition="0"/>
    </format>
    <format dxfId="1103">
      <pivotArea field="5" type="button" dataOnly="0" labelOnly="1" outline="0" axis="axisCol" fieldPosition="0"/>
    </format>
    <format dxfId="1102">
      <pivotArea type="topRight" dataOnly="0" labelOnly="1" outline="0" fieldPosition="0"/>
    </format>
    <format dxfId="1101">
      <pivotArea field="3" type="button" dataOnly="0" labelOnly="1" outline="0" axis="axisRow" fieldPosition="1"/>
    </format>
    <format dxfId="1100">
      <pivotArea dataOnly="0" labelOnly="1" fieldPosition="0">
        <references count="1">
          <reference field="3" count="0"/>
        </references>
      </pivotArea>
    </format>
    <format dxfId="1099">
      <pivotArea dataOnly="0" labelOnly="1" grandRow="1" outline="0" fieldPosition="0"/>
    </format>
    <format dxfId="1098">
      <pivotArea dataOnly="0" labelOnly="1" fieldPosition="0">
        <references count="1">
          <reference field="5" count="0"/>
        </references>
      </pivotArea>
    </format>
    <format dxfId="1097">
      <pivotArea type="all" dataOnly="0" outline="0" fieldPosition="0"/>
    </format>
    <format dxfId="1096">
      <pivotArea outline="0" collapsedLevelsAreSubtotals="1" fieldPosition="0"/>
    </format>
    <format dxfId="1095">
      <pivotArea type="origin" dataOnly="0" labelOnly="1" outline="0" fieldPosition="0"/>
    </format>
    <format dxfId="1094">
      <pivotArea field="5" type="button" dataOnly="0" labelOnly="1" outline="0" axis="axisCol" fieldPosition="0"/>
    </format>
    <format dxfId="1093">
      <pivotArea type="topRight" dataOnly="0" labelOnly="1" outline="0" fieldPosition="0"/>
    </format>
    <format dxfId="1092">
      <pivotArea field="0" type="button" dataOnly="0" labelOnly="1" outline="0" axis="axisRow" fieldPosition="0"/>
    </format>
    <format dxfId="1091">
      <pivotArea dataOnly="0" labelOnly="1" fieldPosition="0">
        <references count="1">
          <reference field="0" count="0"/>
        </references>
      </pivotArea>
    </format>
    <format dxfId="1090">
      <pivotArea dataOnly="0" labelOnly="1" grandRow="1" outline="0" fieldPosition="0"/>
    </format>
    <format dxfId="1089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88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087">
      <pivotArea dataOnly="0" labelOnly="1" fieldPosition="0">
        <references count="1">
          <reference field="5" count="0"/>
        </references>
      </pivotArea>
    </format>
    <format dxfId="1086">
      <pivotArea type="origin" dataOnly="0" labelOnly="1" outline="0" fieldPosition="0"/>
    </format>
    <format dxfId="1085">
      <pivotArea collapsedLevelsAreSubtotals="1" fieldPosition="0">
        <references count="1">
          <reference field="0" count="1">
            <x v="1"/>
          </reference>
        </references>
      </pivotArea>
    </format>
    <format dxfId="1084">
      <pivotArea collapsedLevelsAreSubtotals="1" fieldPosition="0">
        <references count="1">
          <reference field="0" count="1">
            <x v="1"/>
          </reference>
        </references>
      </pivotArea>
    </format>
    <format dxfId="1083">
      <pivotArea collapsedLevelsAreSubtotals="1" fieldPosition="0">
        <references count="1">
          <reference field="0" count="1">
            <x v="1"/>
          </reference>
        </references>
      </pivotArea>
    </format>
    <format dxfId="108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errorCaption="-" showError="1" missingCaption="-" updatedVersion="6" minRefreshableVersion="3" colGrandTotals="0" itemPrintTitles="1" createdVersion="6" indent="0" outline="1" outlineData="1" multipleFieldFilters="0" rowHeaderCaption="Entidad / sostenimiento" colHeaderCaption="Año">
  <location ref="A17:H56" firstHeaderRow="1" firstDataRow="2" firstDataCol="1"/>
  <pivotFields count="80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showAll="0"/>
    <pivotField numFmtId="3" showAll="0"/>
    <pivotField numFmtId="3" showAl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numFmtId="3" showAll="0" defaultSubtotal="0"/>
    <pivotField numFmtId="3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3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1"/>
    </i>
    <i r="1">
      <x v="6"/>
    </i>
    <i r="1">
      <x v="19"/>
    </i>
    <i r="1">
      <x v="33"/>
    </i>
    <i>
      <x v="2"/>
    </i>
    <i r="1">
      <x v="3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Promedio de ET" fld="65" subtotal="average" baseField="0" baseItem="0" numFmtId="164"/>
  </dataFields>
  <formats count="34">
    <format dxfId="1073">
      <pivotArea type="all" dataOnly="0" outline="0" fieldPosition="0"/>
    </format>
    <format dxfId="1072">
      <pivotArea outline="0" collapsedLevelsAreSubtotals="1" fieldPosition="0"/>
    </format>
    <format dxfId="1071">
      <pivotArea type="origin" dataOnly="0" labelOnly="1" outline="0" fieldPosition="0"/>
    </format>
    <format dxfId="1070">
      <pivotArea field="5" type="button" dataOnly="0" labelOnly="1" outline="0" axis="axisCol" fieldPosition="0"/>
    </format>
    <format dxfId="1069">
      <pivotArea type="topRight" dataOnly="0" labelOnly="1" outline="0" fieldPosition="0"/>
    </format>
    <format dxfId="1068">
      <pivotArea field="3" type="button" dataOnly="0" labelOnly="1" outline="0" axis="axisRow" fieldPosition="1"/>
    </format>
    <format dxfId="1067">
      <pivotArea dataOnly="0" labelOnly="1" fieldPosition="0">
        <references count="1">
          <reference field="3" count="0"/>
        </references>
      </pivotArea>
    </format>
    <format dxfId="1066">
      <pivotArea dataOnly="0" labelOnly="1" grandRow="1" outline="0" fieldPosition="0"/>
    </format>
    <format dxfId="1065">
      <pivotArea dataOnly="0" labelOnly="1" fieldPosition="0">
        <references count="1">
          <reference field="5" count="0"/>
        </references>
      </pivotArea>
    </format>
    <format dxfId="1064">
      <pivotArea type="all" dataOnly="0" outline="0" fieldPosition="0"/>
    </format>
    <format dxfId="1063">
      <pivotArea outline="0" collapsedLevelsAreSubtotals="1" fieldPosition="0"/>
    </format>
    <format dxfId="1062">
      <pivotArea type="origin" dataOnly="0" labelOnly="1" outline="0" fieldPosition="0"/>
    </format>
    <format dxfId="1061">
      <pivotArea field="5" type="button" dataOnly="0" labelOnly="1" outline="0" axis="axisCol" fieldPosition="0"/>
    </format>
    <format dxfId="1060">
      <pivotArea type="topRight" dataOnly="0" labelOnly="1" outline="0" fieldPosition="0"/>
    </format>
    <format dxfId="1059">
      <pivotArea field="3" type="button" dataOnly="0" labelOnly="1" outline="0" axis="axisRow" fieldPosition="1"/>
    </format>
    <format dxfId="1058">
      <pivotArea dataOnly="0" labelOnly="1" fieldPosition="0">
        <references count="1">
          <reference field="3" count="0"/>
        </references>
      </pivotArea>
    </format>
    <format dxfId="1057">
      <pivotArea dataOnly="0" labelOnly="1" grandRow="1" outline="0" fieldPosition="0"/>
    </format>
    <format dxfId="1056">
      <pivotArea dataOnly="0" labelOnly="1" fieldPosition="0">
        <references count="1">
          <reference field="5" count="0"/>
        </references>
      </pivotArea>
    </format>
    <format dxfId="1055">
      <pivotArea type="all" dataOnly="0" outline="0" fieldPosition="0"/>
    </format>
    <format dxfId="1054">
      <pivotArea outline="0" collapsedLevelsAreSubtotals="1" fieldPosition="0"/>
    </format>
    <format dxfId="1053">
      <pivotArea type="origin" dataOnly="0" labelOnly="1" outline="0" fieldPosition="0"/>
    </format>
    <format dxfId="1052">
      <pivotArea field="5" type="button" dataOnly="0" labelOnly="1" outline="0" axis="axisCol" fieldPosition="0"/>
    </format>
    <format dxfId="1051">
      <pivotArea type="topRight" dataOnly="0" labelOnly="1" outline="0" fieldPosition="0"/>
    </format>
    <format dxfId="1050">
      <pivotArea field="0" type="button" dataOnly="0" labelOnly="1" outline="0" axis="axisRow" fieldPosition="0"/>
    </format>
    <format dxfId="1049">
      <pivotArea dataOnly="0" labelOnly="1" fieldPosition="0">
        <references count="1">
          <reference field="0" count="0"/>
        </references>
      </pivotArea>
    </format>
    <format dxfId="1048">
      <pivotArea dataOnly="0" labelOnly="1" grandRow="1" outline="0" fieldPosition="0"/>
    </format>
    <format dxfId="1047">
      <pivotArea dataOnly="0" labelOnly="1" fieldPosition="0">
        <references count="2">
          <reference field="0" count="1" selected="0">
            <x v="0"/>
          </reference>
          <reference field="3" count="3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46">
      <pivotArea dataOnly="0" labelOnly="1" fieldPosition="0">
        <references count="2">
          <reference field="0" count="1" selected="0">
            <x v="1"/>
          </reference>
          <reference field="3" count="2">
            <x v="6"/>
            <x v="19"/>
          </reference>
        </references>
      </pivotArea>
    </format>
    <format dxfId="1045">
      <pivotArea dataOnly="0" labelOnly="1" fieldPosition="0">
        <references count="1">
          <reference field="5" count="0"/>
        </references>
      </pivotArea>
    </format>
    <format dxfId="1044">
      <pivotArea type="origin" dataOnly="0" labelOnly="1" outline="0" fieldPosition="0"/>
    </format>
    <format dxfId="1043">
      <pivotArea collapsedLevelsAreSubtotals="1" fieldPosition="0">
        <references count="1">
          <reference field="0" count="1">
            <x v="1"/>
          </reference>
        </references>
      </pivotArea>
    </format>
    <format dxfId="1042">
      <pivotArea collapsedLevelsAreSubtotals="1" fieldPosition="0">
        <references count="1">
          <reference field="0" count="1">
            <x v="1"/>
          </reference>
        </references>
      </pivotArea>
    </format>
    <format dxfId="1041">
      <pivotArea collapsedLevelsAreSubtotals="1" fieldPosition="0">
        <references count="1">
          <reference field="0" count="1">
            <x v="1"/>
          </reference>
        </references>
      </pivotArea>
    </format>
    <format dxfId="104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ntidad" sourceName="entidad">
  <pivotTables>
    <pivotTable tabId="107" name="TablaDinámica7"/>
  </pivotTables>
  <data>
    <tabular pivotCacheId="3">
      <items count="34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33"/>
        <i x="32"/>
        <i x="20"/>
        <i x="21"/>
        <i x="22"/>
        <i x="23"/>
        <i x="24"/>
        <i x="25"/>
        <i x="26" s="1"/>
        <i x="27"/>
        <i x="28"/>
        <i x="29"/>
        <i x="30"/>
        <i x="3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ntidad 1" cache="SegmentaciónDeDatos_entidad" caption="entidad" startItem="5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ntidad" cache="SegmentaciónDeDatos_entidad" caption="entidad" rowHeight="241300"/>
</slicers>
</file>

<file path=xl/tables/table1.xml><?xml version="1.0" encoding="utf-8"?>
<table xmlns="http://schemas.openxmlformats.org/spreadsheetml/2006/main" id="36" name="Tabla36" displayName="Tabla36" ref="A8:J28" totalsRowShown="0" headerRowDxfId="1435" dataDxfId="1434" headerRowCellStyle="Énfasis3">
  <tableColumns count="10">
    <tableColumn id="1" name="No." dataDxfId="1433" dataCellStyle="20% - Énfasis1"/>
    <tableColumn id="2" name="Indicador" dataDxfId="1432" dataCellStyle="20% - Énfasis1"/>
    <tableColumn id="3" name="2012" dataDxfId="1431" dataCellStyle="Énfasis1"/>
    <tableColumn id="4" name="2013" dataDxfId="1430" dataCellStyle="Énfasis1"/>
    <tableColumn id="5" name="2014" dataDxfId="1429" dataCellStyle="Énfasis1"/>
    <tableColumn id="6" name="2015" dataDxfId="1428" dataCellStyle="Énfasis1"/>
    <tableColumn id="7" name="2016" dataDxfId="1427"/>
    <tableColumn id="8" name="2017" dataDxfId="1426"/>
    <tableColumn id="9" name="2018" dataDxfId="1425"/>
    <tableColumn id="10" name="Prom." dataDxfId="1424" dataCellStyle="Énfasis1">
      <calculatedColumnFormula>IF(COUNTIF(C9:I9,"&gt;0")=0,0,(SUM(C9:I9)/COUNTIF(C9:I9,"&gt;0")))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NacionalCobertura7913" displayName="NacionalCobertura7913" ref="A7:B15" totalsRowShown="0" headerRowDxfId="1165" dataDxfId="1164">
  <tableColumns count="2">
    <tableColumn id="1" name="Año" dataDxfId="1163"/>
    <tableColumn id="2" name="Valor" dataDxfId="1162">
      <calculatedColumnFormula>B56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a581014" displayName="Tabla581014" ref="I18:I56" totalsRowShown="0" headerRowDxfId="1161" dataDxfId="1159" headerRowBorderDxfId="1160">
  <tableColumns count="1">
    <tableColumn id="1" name="2017-2018" dataDxfId="1158">
      <calculatedColumnFormula>H19-G19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NacionalCobertura791315" displayName="NacionalCobertura791315" ref="A7:B15" totalsRowShown="0" headerRowDxfId="1123" dataDxfId="1122">
  <tableColumns count="2">
    <tableColumn id="1" name="Año" dataDxfId="1121"/>
    <tableColumn id="2" name="Valor" dataDxfId="1120">
      <calculatedColumnFormula>B56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5" name="Tabla58101416" displayName="Tabla58101416" ref="I18:I56" totalsRowShown="0" headerRowDxfId="1119" dataDxfId="1117" headerRowBorderDxfId="1118">
  <tableColumns count="1">
    <tableColumn id="1" name="2017-2018" dataDxfId="1116">
      <calculatedColumnFormula>H19-G19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6" name="NacionalCobertura79131517" displayName="NacionalCobertura79131517" ref="A7:B15" totalsRowShown="0" headerRowDxfId="1081" dataDxfId="1080">
  <tableColumns count="2">
    <tableColumn id="1" name="Año" dataDxfId="1079"/>
    <tableColumn id="2" name="Valor" dataDxfId="1078">
      <calculatedColumnFormula>B56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7" name="Tabla5810141618" displayName="Tabla5810141618" ref="I18:I56" totalsRowShown="0" headerRowDxfId="1077" dataDxfId="1075" headerRowBorderDxfId="1076">
  <tableColumns count="1">
    <tableColumn id="1" name="2017-2018" dataDxfId="1074">
      <calculatedColumnFormula>H19-G19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8" name="NacionalCobertura7913151719" displayName="NacionalCobertura7913151719" ref="A7:B15" totalsRowShown="0" headerRowDxfId="1039" dataDxfId="1038">
  <tableColumns count="2">
    <tableColumn id="1" name="Año" dataDxfId="1037"/>
    <tableColumn id="2" name="Valor" dataDxfId="1036">
      <calculatedColumnFormula>B56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9" name="Tabla581014161820" displayName="Tabla581014161820" ref="I18:I56" totalsRowShown="0" headerRowDxfId="1035" dataDxfId="1033" headerRowBorderDxfId="1034">
  <tableColumns count="1">
    <tableColumn id="1" name="2017-2018" dataDxfId="1032">
      <calculatedColumnFormula>H19-G19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0" name="NacionalCobertura791315171921" displayName="NacionalCobertura791315171921" ref="A7:B15" totalsRowShown="0" headerRowDxfId="997" dataDxfId="996">
  <tableColumns count="2">
    <tableColumn id="1" name="Año" dataDxfId="995"/>
    <tableColumn id="2" name="Valor" dataDxfId="994">
      <calculatedColumnFormula>B56</calculatedColumnFormula>
    </tableColumn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1" name="Tabla58101416182022" displayName="Tabla58101416182022" ref="I18:I56" totalsRowShown="0" headerRowDxfId="993" dataDxfId="991" headerRowBorderDxfId="992">
  <tableColumns count="1">
    <tableColumn id="1" name="2017-2018" dataDxfId="990">
      <calculatedColumnFormula>D19-C19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NacionalCobertura" displayName="NacionalCobertura" ref="A7:B15" totalsRowShown="0" headerRowDxfId="1334" dataDxfId="1333">
  <tableColumns count="2">
    <tableColumn id="1" name="Año" dataDxfId="1332"/>
    <tableColumn id="2" name="Valor" dataDxfId="1331">
      <calculatedColumnFormula>B56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2" name="NacionalCobertura791315171923" displayName="NacionalCobertura791315171923" ref="A7:B15" totalsRowShown="0" headerRowDxfId="955" dataDxfId="954">
  <tableColumns count="2">
    <tableColumn id="1" name="Año" dataDxfId="953"/>
    <tableColumn id="2" name="Valor" dataDxfId="952">
      <calculatedColumnFormula>B56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3" name="Tabla58101416182024" displayName="Tabla58101416182024" ref="I18:I56" totalsRowShown="0" headerRowDxfId="951" dataDxfId="949" headerRowBorderDxfId="950">
  <tableColumns count="1">
    <tableColumn id="1" name="2017-2018" dataDxfId="948">
      <calculatedColumnFormula>H19-G19</calculatedColumnFormula>
    </tableColumn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4" name="NacionalCobertura791125" displayName="NacionalCobertura791125" ref="A7:B15" totalsRowShown="0" headerRowDxfId="912" dataDxfId="911">
  <tableColumns count="2">
    <tableColumn id="1" name="Año" dataDxfId="910"/>
    <tableColumn id="2" name="Valor" dataDxfId="909">
      <calculatedColumnFormula>B56</calculatedColumnFormula>
    </tableColumn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5" name="Tabla58101226" displayName="Tabla58101226" ref="I18:I56" totalsRowShown="0" headerRowDxfId="908" dataDxfId="906" headerRowBorderDxfId="907">
  <tableColumns count="1">
    <tableColumn id="1" name="2017-2018" dataDxfId="905">
      <calculatedColumnFormula>H19-G19</calculatedColumnFormula>
    </tableColumn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6" name="NacionalCobertura79112527" displayName="NacionalCobertura79112527" ref="A7:B15" totalsRowShown="0" headerRowDxfId="866" dataDxfId="865">
  <tableColumns count="2">
    <tableColumn id="1" name="Año" dataDxfId="864"/>
    <tableColumn id="2" name="Valor" dataDxfId="863">
      <calculatedColumnFormula>B56</calculatedColumnFormula>
    </tableColumn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7" name="Tabla5810122628" displayName="Tabla5810122628" ref="I18:I56" totalsRowShown="0" headerRowDxfId="862" dataDxfId="860" headerRowBorderDxfId="861">
  <tableColumns count="1">
    <tableColumn id="1" name="2017-2018" dataDxfId="859">
      <calculatedColumnFormula>H19-G19</calculatedColumnFormula>
    </tableColumn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8" name="NacionalCobertura79131517192329" displayName="NacionalCobertura79131517192329" ref="A7:B15" totalsRowShown="0" headerRowDxfId="824" dataDxfId="823">
  <tableColumns count="2">
    <tableColumn id="1" name="Año (segundo semestre)" dataDxfId="822"/>
    <tableColumn id="2" name="Valor" dataDxfId="821">
      <calculatedColumnFormula>B56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9" name="Tabla5810141618202430" displayName="Tabla5810141618202430" ref="I18:I56" totalsRowShown="0" headerRowDxfId="820" dataDxfId="818" headerRowBorderDxfId="819">
  <tableColumns count="1">
    <tableColumn id="1" name="2017-2018" dataDxfId="817">
      <calculatedColumnFormula>H19-G19</calculatedColumnFormula>
    </tableColumn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" name="NacionalCobertura791125272" displayName="NacionalCobertura791125272" ref="A7:B15" totalsRowShown="0" headerRowDxfId="779" dataDxfId="778">
  <tableColumns count="2">
    <tableColumn id="1" name="Año" dataDxfId="777"/>
    <tableColumn id="2" name="Valor" dataDxfId="776">
      <calculatedColumnFormula>B56</calculatedColumnFormula>
    </tableColumn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" name="Tabla58101226283" displayName="Tabla58101226283" ref="I18:I56" totalsRowShown="0" headerRowDxfId="775" dataDxfId="773" headerRowBorderDxfId="774">
  <tableColumns count="1">
    <tableColumn id="1" name="2017-2018" dataDxfId="772">
      <calculatedColumnFormula>H19-G19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I18:I56" totalsRowShown="0" headerRowDxfId="1330" dataDxfId="1328" headerRowBorderDxfId="1329">
  <tableColumns count="1">
    <tableColumn id="1" name="2017-2018" dataDxfId="1327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" name="NacionalCobertura7911252724" displayName="NacionalCobertura7911252724" ref="A7:B15" totalsRowShown="0" headerRowDxfId="734" dataDxfId="733">
  <tableColumns count="2">
    <tableColumn id="1" name="Año" dataDxfId="732"/>
    <tableColumn id="2" name="Valor" dataDxfId="731">
      <calculatedColumnFormula>B56</calculatedColumnFormula>
    </tableColumn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0" name="Tabla5810122628331" displayName="Tabla5810122628331" ref="I18:I56" totalsRowShown="0" headerRowDxfId="730" dataDxfId="728" headerRowBorderDxfId="729">
  <tableColumns count="1">
    <tableColumn id="1" name="2017-2018" dataDxfId="727">
      <calculatedColumnFormula>H19-G19</calculatedColumnFormula>
    </tableColumn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5" name="NacionalCobertura79113236" displayName="NacionalCobertura79113236" ref="A7:B15" totalsRowShown="0" headerRowDxfId="646" dataDxfId="645">
  <tableColumns count="2">
    <tableColumn id="1" name="Año" dataDxfId="644"/>
    <tableColumn id="2" name="Valor" dataDxfId="643">
      <calculatedColumnFormula>B56</calculatedColumnFormula>
    </tableColumn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7" name="Tabla5810123338" displayName="Tabla5810123338" ref="I18:I56" totalsRowShown="0" headerRowDxfId="642" dataDxfId="640" headerRowBorderDxfId="641">
  <tableColumns count="1">
    <tableColumn id="1" name="2017-2018" dataDxfId="639">
      <calculatedColumnFormula>H19-G19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3" name="NacionalCobertura79113234" displayName="NacionalCobertura79113234" ref="A7:B15" totalsRowShown="0" headerRowDxfId="604" dataDxfId="603">
  <tableColumns count="2">
    <tableColumn id="1" name="Año" dataDxfId="602"/>
    <tableColumn id="2" name="Valor" dataDxfId="601">
      <calculatedColumnFormula>B56</calculatedColumnFormula>
    </tableColumn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4" name="Tabla5810123335" displayName="Tabla5810123335" ref="I18:I56" totalsRowShown="0" headerRowDxfId="600" dataDxfId="598" headerRowBorderDxfId="599">
  <tableColumns count="1">
    <tableColumn id="1" name="2017-2018" dataDxfId="597">
      <calculatedColumnFormula>H19-G19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1" name="NacionalCobertura791132" displayName="NacionalCobertura791132" ref="A7:B15" totalsRowShown="0" headerRowDxfId="521" dataDxfId="520">
  <tableColumns count="2">
    <tableColumn id="1" name="Año" dataDxfId="519"/>
    <tableColumn id="2" name="Valor" dataDxfId="518">
      <calculatedColumnFormula>B56</calculatedColumnFormula>
    </tableColumn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2" name="Tabla58101233" displayName="Tabla58101233" ref="I18:I56" totalsRowShown="0" headerRowDxfId="517" dataDxfId="515" headerRowBorderDxfId="516">
  <tableColumns count="1">
    <tableColumn id="1" name="2017-2018" dataDxfId="514">
      <calculatedColumnFormula>H19-G19</calculatedColumnFormula>
    </tableColumn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NacionalCobertura7913151719232939" displayName="NacionalCobertura7913151719232939" ref="A7:B15" totalsRowShown="0" headerRowDxfId="479" dataDxfId="478">
  <tableColumns count="2">
    <tableColumn id="1" name="AÑO" dataDxfId="477"/>
    <tableColumn id="2" name="Valor" dataDxfId="476">
      <calculatedColumnFormula>B56</calculatedColumnFormula>
    </tableColumn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a581014161820243040" displayName="Tabla581014161820243040" ref="I18:I56" totalsRowShown="0" headerRowDxfId="475" dataDxfId="473" headerRowBorderDxfId="474">
  <tableColumns count="1">
    <tableColumn id="1" name="2017-2018" dataDxfId="472">
      <calculatedColumnFormula>H19-G19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NacionalCobertura7" displayName="NacionalCobertura7" ref="A7:B15" totalsRowShown="0" headerRowDxfId="1292" dataDxfId="1291">
  <tableColumns count="2">
    <tableColumn id="1" name="Año" dataDxfId="1290"/>
    <tableColumn id="2" name="Valor" dataDxfId="1289">
      <calculatedColumnFormula>B56</calculatedColumnFormula>
    </tableColumn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NacionalCobertura7913151719232941" displayName="NacionalCobertura7913151719232941" ref="A7:B15" totalsRowShown="0" headerRowDxfId="402" dataDxfId="401">
  <tableColumns count="2">
    <tableColumn id="1" name="Año" dataDxfId="400"/>
    <tableColumn id="2" name="Valor" dataDxfId="399">
      <calculatedColumnFormula>B56</calculatedColumnFormula>
    </tableColumn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a581014161820243042" displayName="Tabla581014161820243042" ref="I18:I56" totalsRowShown="0" headerRowDxfId="398" dataDxfId="396" headerRowBorderDxfId="397">
  <tableColumns count="1">
    <tableColumn id="1" name="2017-2018" dataDxfId="395">
      <calculatedColumnFormula>H19-G19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a58" displayName="Tabla58" ref="I18:I56" totalsRowShown="0" headerRowDxfId="1288" dataDxfId="1286" headerRowBorderDxfId="1287">
  <tableColumns count="1">
    <tableColumn id="1" name="2017-2018" dataDxfId="1285">
      <calculatedColumnFormula>H19-G19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NacionalCobertura79" displayName="NacionalCobertura79" ref="A7:B15" totalsRowShown="0" headerRowDxfId="1250" dataDxfId="1249">
  <tableColumns count="2">
    <tableColumn id="1" name="Año" dataDxfId="1248"/>
    <tableColumn id="2" name="Valor" dataDxfId="1247">
      <calculatedColumnFormula>B56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a5810" displayName="Tabla5810" ref="I18:I56" totalsRowShown="0" headerRowDxfId="1246" dataDxfId="1244" headerRowBorderDxfId="1245">
  <tableColumns count="1">
    <tableColumn id="1" name="2017-2018" dataDxfId="1243">
      <calculatedColumnFormula>H19-G19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NacionalCobertura7911" displayName="NacionalCobertura7911" ref="A7:B15" totalsRowShown="0" headerRowDxfId="1208" dataDxfId="1207">
  <tableColumns count="2">
    <tableColumn id="1" name="Año" dataDxfId="1206"/>
    <tableColumn id="2" name="Valor" dataDxfId="1205">
      <calculatedColumnFormula>B56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a581012" displayName="Tabla581012" ref="I18:I56" totalsRowShown="0" headerRowDxfId="1204" dataDxfId="1202" headerRowBorderDxfId="1203">
  <tableColumns count="1">
    <tableColumn id="1" name="2017-2018" dataDxfId="1201">
      <calculatedColumnFormula>H19-G19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Relationship Id="rId5" Type="http://schemas.openxmlformats.org/officeDocument/2006/relationships/table" Target="../tables/table25.xml"/><Relationship Id="rId4" Type="http://schemas.openxmlformats.org/officeDocument/2006/relationships/table" Target="../tables/table2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Relationship Id="rId5" Type="http://schemas.openxmlformats.org/officeDocument/2006/relationships/table" Target="../tables/table35.xml"/><Relationship Id="rId4" Type="http://schemas.openxmlformats.org/officeDocument/2006/relationships/table" Target="../tables/table3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Relationship Id="rId5" Type="http://schemas.openxmlformats.org/officeDocument/2006/relationships/table" Target="../tables/table37.xml"/><Relationship Id="rId4" Type="http://schemas.openxmlformats.org/officeDocument/2006/relationships/table" Target="../tables/table3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Relationship Id="rId5" Type="http://schemas.openxmlformats.org/officeDocument/2006/relationships/table" Target="../tables/table41.xml"/><Relationship Id="rId4" Type="http://schemas.openxmlformats.org/officeDocument/2006/relationships/table" Target="../tables/table4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pivotTable" Target="../pivotTables/pivotTable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1.bin"/><Relationship Id="rId1" Type="http://schemas.openxmlformats.org/officeDocument/2006/relationships/pivotTable" Target="../pivotTables/pivotTable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showWhiteSpace="0" zoomScale="70" zoomScaleNormal="70" zoomScaleSheetLayoutView="120" zoomScalePageLayoutView="75" workbookViewId="0">
      <selection activeCell="A6" sqref="A6:J28"/>
    </sheetView>
  </sheetViews>
  <sheetFormatPr baseColWidth="10" defaultRowHeight="15" x14ac:dyDescent="0.3"/>
  <cols>
    <col min="1" max="1" width="7.140625" style="198" customWidth="1"/>
    <col min="2" max="2" width="61.7109375" style="9" customWidth="1"/>
    <col min="3" max="10" width="15.7109375" style="198" customWidth="1"/>
    <col min="11" max="14" width="11.42578125" style="19"/>
    <col min="15" max="258" width="11.42578125" style="9"/>
    <col min="259" max="259" width="5.42578125" style="9" customWidth="1"/>
    <col min="260" max="260" width="25.42578125" style="9" customWidth="1"/>
    <col min="261" max="261" width="9.140625" style="9" customWidth="1"/>
    <col min="262" max="262" width="8.42578125" style="9" customWidth="1"/>
    <col min="263" max="263" width="33.5703125" style="9" customWidth="1"/>
    <col min="264" max="264" width="11.140625" style="9" customWidth="1"/>
    <col min="265" max="514" width="11.42578125" style="9"/>
    <col min="515" max="515" width="5.42578125" style="9" customWidth="1"/>
    <col min="516" max="516" width="25.42578125" style="9" customWidth="1"/>
    <col min="517" max="517" width="9.140625" style="9" customWidth="1"/>
    <col min="518" max="518" width="8.42578125" style="9" customWidth="1"/>
    <col min="519" max="519" width="33.5703125" style="9" customWidth="1"/>
    <col min="520" max="520" width="11.140625" style="9" customWidth="1"/>
    <col min="521" max="770" width="11.42578125" style="9"/>
    <col min="771" max="771" width="5.42578125" style="9" customWidth="1"/>
    <col min="772" max="772" width="25.42578125" style="9" customWidth="1"/>
    <col min="773" max="773" width="9.140625" style="9" customWidth="1"/>
    <col min="774" max="774" width="8.42578125" style="9" customWidth="1"/>
    <col min="775" max="775" width="33.5703125" style="9" customWidth="1"/>
    <col min="776" max="776" width="11.140625" style="9" customWidth="1"/>
    <col min="777" max="1026" width="11.42578125" style="9"/>
    <col min="1027" max="1027" width="5.42578125" style="9" customWidth="1"/>
    <col min="1028" max="1028" width="25.42578125" style="9" customWidth="1"/>
    <col min="1029" max="1029" width="9.140625" style="9" customWidth="1"/>
    <col min="1030" max="1030" width="8.42578125" style="9" customWidth="1"/>
    <col min="1031" max="1031" width="33.5703125" style="9" customWidth="1"/>
    <col min="1032" max="1032" width="11.140625" style="9" customWidth="1"/>
    <col min="1033" max="1282" width="11.42578125" style="9"/>
    <col min="1283" max="1283" width="5.42578125" style="9" customWidth="1"/>
    <col min="1284" max="1284" width="25.42578125" style="9" customWidth="1"/>
    <col min="1285" max="1285" width="9.140625" style="9" customWidth="1"/>
    <col min="1286" max="1286" width="8.42578125" style="9" customWidth="1"/>
    <col min="1287" max="1287" width="33.5703125" style="9" customWidth="1"/>
    <col min="1288" max="1288" width="11.140625" style="9" customWidth="1"/>
    <col min="1289" max="1538" width="11.42578125" style="9"/>
    <col min="1539" max="1539" width="5.42578125" style="9" customWidth="1"/>
    <col min="1540" max="1540" width="25.42578125" style="9" customWidth="1"/>
    <col min="1541" max="1541" width="9.140625" style="9" customWidth="1"/>
    <col min="1542" max="1542" width="8.42578125" style="9" customWidth="1"/>
    <col min="1543" max="1543" width="33.5703125" style="9" customWidth="1"/>
    <col min="1544" max="1544" width="11.140625" style="9" customWidth="1"/>
    <col min="1545" max="1794" width="11.42578125" style="9"/>
    <col min="1795" max="1795" width="5.42578125" style="9" customWidth="1"/>
    <col min="1796" max="1796" width="25.42578125" style="9" customWidth="1"/>
    <col min="1797" max="1797" width="9.140625" style="9" customWidth="1"/>
    <col min="1798" max="1798" width="8.42578125" style="9" customWidth="1"/>
    <col min="1799" max="1799" width="33.5703125" style="9" customWidth="1"/>
    <col min="1800" max="1800" width="11.140625" style="9" customWidth="1"/>
    <col min="1801" max="2050" width="11.42578125" style="9"/>
    <col min="2051" max="2051" width="5.42578125" style="9" customWidth="1"/>
    <col min="2052" max="2052" width="25.42578125" style="9" customWidth="1"/>
    <col min="2053" max="2053" width="9.140625" style="9" customWidth="1"/>
    <col min="2054" max="2054" width="8.42578125" style="9" customWidth="1"/>
    <col min="2055" max="2055" width="33.5703125" style="9" customWidth="1"/>
    <col min="2056" max="2056" width="11.140625" style="9" customWidth="1"/>
    <col min="2057" max="2306" width="11.42578125" style="9"/>
    <col min="2307" max="2307" width="5.42578125" style="9" customWidth="1"/>
    <col min="2308" max="2308" width="25.42578125" style="9" customWidth="1"/>
    <col min="2309" max="2309" width="9.140625" style="9" customWidth="1"/>
    <col min="2310" max="2310" width="8.42578125" style="9" customWidth="1"/>
    <col min="2311" max="2311" width="33.5703125" style="9" customWidth="1"/>
    <col min="2312" max="2312" width="11.140625" style="9" customWidth="1"/>
    <col min="2313" max="2562" width="11.42578125" style="9"/>
    <col min="2563" max="2563" width="5.42578125" style="9" customWidth="1"/>
    <col min="2564" max="2564" width="25.42578125" style="9" customWidth="1"/>
    <col min="2565" max="2565" width="9.140625" style="9" customWidth="1"/>
    <col min="2566" max="2566" width="8.42578125" style="9" customWidth="1"/>
    <col min="2567" max="2567" width="33.5703125" style="9" customWidth="1"/>
    <col min="2568" max="2568" width="11.140625" style="9" customWidth="1"/>
    <col min="2569" max="2818" width="11.42578125" style="9"/>
    <col min="2819" max="2819" width="5.42578125" style="9" customWidth="1"/>
    <col min="2820" max="2820" width="25.42578125" style="9" customWidth="1"/>
    <col min="2821" max="2821" width="9.140625" style="9" customWidth="1"/>
    <col min="2822" max="2822" width="8.42578125" style="9" customWidth="1"/>
    <col min="2823" max="2823" width="33.5703125" style="9" customWidth="1"/>
    <col min="2824" max="2824" width="11.140625" style="9" customWidth="1"/>
    <col min="2825" max="3074" width="11.42578125" style="9"/>
    <col min="3075" max="3075" width="5.42578125" style="9" customWidth="1"/>
    <col min="3076" max="3076" width="25.42578125" style="9" customWidth="1"/>
    <col min="3077" max="3077" width="9.140625" style="9" customWidth="1"/>
    <col min="3078" max="3078" width="8.42578125" style="9" customWidth="1"/>
    <col min="3079" max="3079" width="33.5703125" style="9" customWidth="1"/>
    <col min="3080" max="3080" width="11.140625" style="9" customWidth="1"/>
    <col min="3081" max="3330" width="11.42578125" style="9"/>
    <col min="3331" max="3331" width="5.42578125" style="9" customWidth="1"/>
    <col min="3332" max="3332" width="25.42578125" style="9" customWidth="1"/>
    <col min="3333" max="3333" width="9.140625" style="9" customWidth="1"/>
    <col min="3334" max="3334" width="8.42578125" style="9" customWidth="1"/>
    <col min="3335" max="3335" width="33.5703125" style="9" customWidth="1"/>
    <col min="3336" max="3336" width="11.140625" style="9" customWidth="1"/>
    <col min="3337" max="3586" width="11.42578125" style="9"/>
    <col min="3587" max="3587" width="5.42578125" style="9" customWidth="1"/>
    <col min="3588" max="3588" width="25.42578125" style="9" customWidth="1"/>
    <col min="3589" max="3589" width="9.140625" style="9" customWidth="1"/>
    <col min="3590" max="3590" width="8.42578125" style="9" customWidth="1"/>
    <col min="3591" max="3591" width="33.5703125" style="9" customWidth="1"/>
    <col min="3592" max="3592" width="11.140625" style="9" customWidth="1"/>
    <col min="3593" max="3842" width="11.42578125" style="9"/>
    <col min="3843" max="3843" width="5.42578125" style="9" customWidth="1"/>
    <col min="3844" max="3844" width="25.42578125" style="9" customWidth="1"/>
    <col min="3845" max="3845" width="9.140625" style="9" customWidth="1"/>
    <col min="3846" max="3846" width="8.42578125" style="9" customWidth="1"/>
    <col min="3847" max="3847" width="33.5703125" style="9" customWidth="1"/>
    <col min="3848" max="3848" width="11.140625" style="9" customWidth="1"/>
    <col min="3849" max="4098" width="11.42578125" style="9"/>
    <col min="4099" max="4099" width="5.42578125" style="9" customWidth="1"/>
    <col min="4100" max="4100" width="25.42578125" style="9" customWidth="1"/>
    <col min="4101" max="4101" width="9.140625" style="9" customWidth="1"/>
    <col min="4102" max="4102" width="8.42578125" style="9" customWidth="1"/>
    <col min="4103" max="4103" width="33.5703125" style="9" customWidth="1"/>
    <col min="4104" max="4104" width="11.140625" style="9" customWidth="1"/>
    <col min="4105" max="4354" width="11.42578125" style="9"/>
    <col min="4355" max="4355" width="5.42578125" style="9" customWidth="1"/>
    <col min="4356" max="4356" width="25.42578125" style="9" customWidth="1"/>
    <col min="4357" max="4357" width="9.140625" style="9" customWidth="1"/>
    <col min="4358" max="4358" width="8.42578125" style="9" customWidth="1"/>
    <col min="4359" max="4359" width="33.5703125" style="9" customWidth="1"/>
    <col min="4360" max="4360" width="11.140625" style="9" customWidth="1"/>
    <col min="4361" max="4610" width="11.42578125" style="9"/>
    <col min="4611" max="4611" width="5.42578125" style="9" customWidth="1"/>
    <col min="4612" max="4612" width="25.42578125" style="9" customWidth="1"/>
    <col min="4613" max="4613" width="9.140625" style="9" customWidth="1"/>
    <col min="4614" max="4614" width="8.42578125" style="9" customWidth="1"/>
    <col min="4615" max="4615" width="33.5703125" style="9" customWidth="1"/>
    <col min="4616" max="4616" width="11.140625" style="9" customWidth="1"/>
    <col min="4617" max="4866" width="11.42578125" style="9"/>
    <col min="4867" max="4867" width="5.42578125" style="9" customWidth="1"/>
    <col min="4868" max="4868" width="25.42578125" style="9" customWidth="1"/>
    <col min="4869" max="4869" width="9.140625" style="9" customWidth="1"/>
    <col min="4870" max="4870" width="8.42578125" style="9" customWidth="1"/>
    <col min="4871" max="4871" width="33.5703125" style="9" customWidth="1"/>
    <col min="4872" max="4872" width="11.140625" style="9" customWidth="1"/>
    <col min="4873" max="5122" width="11.42578125" style="9"/>
    <col min="5123" max="5123" width="5.42578125" style="9" customWidth="1"/>
    <col min="5124" max="5124" width="25.42578125" style="9" customWidth="1"/>
    <col min="5125" max="5125" width="9.140625" style="9" customWidth="1"/>
    <col min="5126" max="5126" width="8.42578125" style="9" customWidth="1"/>
    <col min="5127" max="5127" width="33.5703125" style="9" customWidth="1"/>
    <col min="5128" max="5128" width="11.140625" style="9" customWidth="1"/>
    <col min="5129" max="5378" width="11.42578125" style="9"/>
    <col min="5379" max="5379" width="5.42578125" style="9" customWidth="1"/>
    <col min="5380" max="5380" width="25.42578125" style="9" customWidth="1"/>
    <col min="5381" max="5381" width="9.140625" style="9" customWidth="1"/>
    <col min="5382" max="5382" width="8.42578125" style="9" customWidth="1"/>
    <col min="5383" max="5383" width="33.5703125" style="9" customWidth="1"/>
    <col min="5384" max="5384" width="11.140625" style="9" customWidth="1"/>
    <col min="5385" max="5634" width="11.42578125" style="9"/>
    <col min="5635" max="5635" width="5.42578125" style="9" customWidth="1"/>
    <col min="5636" max="5636" width="25.42578125" style="9" customWidth="1"/>
    <col min="5637" max="5637" width="9.140625" style="9" customWidth="1"/>
    <col min="5638" max="5638" width="8.42578125" style="9" customWidth="1"/>
    <col min="5639" max="5639" width="33.5703125" style="9" customWidth="1"/>
    <col min="5640" max="5640" width="11.140625" style="9" customWidth="1"/>
    <col min="5641" max="5890" width="11.42578125" style="9"/>
    <col min="5891" max="5891" width="5.42578125" style="9" customWidth="1"/>
    <col min="5892" max="5892" width="25.42578125" style="9" customWidth="1"/>
    <col min="5893" max="5893" width="9.140625" style="9" customWidth="1"/>
    <col min="5894" max="5894" width="8.42578125" style="9" customWidth="1"/>
    <col min="5895" max="5895" width="33.5703125" style="9" customWidth="1"/>
    <col min="5896" max="5896" width="11.140625" style="9" customWidth="1"/>
    <col min="5897" max="6146" width="11.42578125" style="9"/>
    <col min="6147" max="6147" width="5.42578125" style="9" customWidth="1"/>
    <col min="6148" max="6148" width="25.42578125" style="9" customWidth="1"/>
    <col min="6149" max="6149" width="9.140625" style="9" customWidth="1"/>
    <col min="6150" max="6150" width="8.42578125" style="9" customWidth="1"/>
    <col min="6151" max="6151" width="33.5703125" style="9" customWidth="1"/>
    <col min="6152" max="6152" width="11.140625" style="9" customWidth="1"/>
    <col min="6153" max="6402" width="11.42578125" style="9"/>
    <col min="6403" max="6403" width="5.42578125" style="9" customWidth="1"/>
    <col min="6404" max="6404" width="25.42578125" style="9" customWidth="1"/>
    <col min="6405" max="6405" width="9.140625" style="9" customWidth="1"/>
    <col min="6406" max="6406" width="8.42578125" style="9" customWidth="1"/>
    <col min="6407" max="6407" width="33.5703125" style="9" customWidth="1"/>
    <col min="6408" max="6408" width="11.140625" style="9" customWidth="1"/>
    <col min="6409" max="6658" width="11.42578125" style="9"/>
    <col min="6659" max="6659" width="5.42578125" style="9" customWidth="1"/>
    <col min="6660" max="6660" width="25.42578125" style="9" customWidth="1"/>
    <col min="6661" max="6661" width="9.140625" style="9" customWidth="1"/>
    <col min="6662" max="6662" width="8.42578125" style="9" customWidth="1"/>
    <col min="6663" max="6663" width="33.5703125" style="9" customWidth="1"/>
    <col min="6664" max="6664" width="11.140625" style="9" customWidth="1"/>
    <col min="6665" max="6914" width="11.42578125" style="9"/>
    <col min="6915" max="6915" width="5.42578125" style="9" customWidth="1"/>
    <col min="6916" max="6916" width="25.42578125" style="9" customWidth="1"/>
    <col min="6917" max="6917" width="9.140625" style="9" customWidth="1"/>
    <col min="6918" max="6918" width="8.42578125" style="9" customWidth="1"/>
    <col min="6919" max="6919" width="33.5703125" style="9" customWidth="1"/>
    <col min="6920" max="6920" width="11.140625" style="9" customWidth="1"/>
    <col min="6921" max="7170" width="11.42578125" style="9"/>
    <col min="7171" max="7171" width="5.42578125" style="9" customWidth="1"/>
    <col min="7172" max="7172" width="25.42578125" style="9" customWidth="1"/>
    <col min="7173" max="7173" width="9.140625" style="9" customWidth="1"/>
    <col min="7174" max="7174" width="8.42578125" style="9" customWidth="1"/>
    <col min="7175" max="7175" width="33.5703125" style="9" customWidth="1"/>
    <col min="7176" max="7176" width="11.140625" style="9" customWidth="1"/>
    <col min="7177" max="7426" width="11.42578125" style="9"/>
    <col min="7427" max="7427" width="5.42578125" style="9" customWidth="1"/>
    <col min="7428" max="7428" width="25.42578125" style="9" customWidth="1"/>
    <col min="7429" max="7429" width="9.140625" style="9" customWidth="1"/>
    <col min="7430" max="7430" width="8.42578125" style="9" customWidth="1"/>
    <col min="7431" max="7431" width="33.5703125" style="9" customWidth="1"/>
    <col min="7432" max="7432" width="11.140625" style="9" customWidth="1"/>
    <col min="7433" max="7682" width="11.42578125" style="9"/>
    <col min="7683" max="7683" width="5.42578125" style="9" customWidth="1"/>
    <col min="7684" max="7684" width="25.42578125" style="9" customWidth="1"/>
    <col min="7685" max="7685" width="9.140625" style="9" customWidth="1"/>
    <col min="7686" max="7686" width="8.42578125" style="9" customWidth="1"/>
    <col min="7687" max="7687" width="33.5703125" style="9" customWidth="1"/>
    <col min="7688" max="7688" width="11.140625" style="9" customWidth="1"/>
    <col min="7689" max="7938" width="11.42578125" style="9"/>
    <col min="7939" max="7939" width="5.42578125" style="9" customWidth="1"/>
    <col min="7940" max="7940" width="25.42578125" style="9" customWidth="1"/>
    <col min="7941" max="7941" width="9.140625" style="9" customWidth="1"/>
    <col min="7942" max="7942" width="8.42578125" style="9" customWidth="1"/>
    <col min="7943" max="7943" width="33.5703125" style="9" customWidth="1"/>
    <col min="7944" max="7944" width="11.140625" style="9" customWidth="1"/>
    <col min="7945" max="8194" width="11.42578125" style="9"/>
    <col min="8195" max="8195" width="5.42578125" style="9" customWidth="1"/>
    <col min="8196" max="8196" width="25.42578125" style="9" customWidth="1"/>
    <col min="8197" max="8197" width="9.140625" style="9" customWidth="1"/>
    <col min="8198" max="8198" width="8.42578125" style="9" customWidth="1"/>
    <col min="8199" max="8199" width="33.5703125" style="9" customWidth="1"/>
    <col min="8200" max="8200" width="11.140625" style="9" customWidth="1"/>
    <col min="8201" max="8450" width="11.42578125" style="9"/>
    <col min="8451" max="8451" width="5.42578125" style="9" customWidth="1"/>
    <col min="8452" max="8452" width="25.42578125" style="9" customWidth="1"/>
    <col min="8453" max="8453" width="9.140625" style="9" customWidth="1"/>
    <col min="8454" max="8454" width="8.42578125" style="9" customWidth="1"/>
    <col min="8455" max="8455" width="33.5703125" style="9" customWidth="1"/>
    <col min="8456" max="8456" width="11.140625" style="9" customWidth="1"/>
    <col min="8457" max="8706" width="11.42578125" style="9"/>
    <col min="8707" max="8707" width="5.42578125" style="9" customWidth="1"/>
    <col min="8708" max="8708" width="25.42578125" style="9" customWidth="1"/>
    <col min="8709" max="8709" width="9.140625" style="9" customWidth="1"/>
    <col min="8710" max="8710" width="8.42578125" style="9" customWidth="1"/>
    <col min="8711" max="8711" width="33.5703125" style="9" customWidth="1"/>
    <col min="8712" max="8712" width="11.140625" style="9" customWidth="1"/>
    <col min="8713" max="8962" width="11.42578125" style="9"/>
    <col min="8963" max="8963" width="5.42578125" style="9" customWidth="1"/>
    <col min="8964" max="8964" width="25.42578125" style="9" customWidth="1"/>
    <col min="8965" max="8965" width="9.140625" style="9" customWidth="1"/>
    <col min="8966" max="8966" width="8.42578125" style="9" customWidth="1"/>
    <col min="8967" max="8967" width="33.5703125" style="9" customWidth="1"/>
    <col min="8968" max="8968" width="11.140625" style="9" customWidth="1"/>
    <col min="8969" max="9218" width="11.42578125" style="9"/>
    <col min="9219" max="9219" width="5.42578125" style="9" customWidth="1"/>
    <col min="9220" max="9220" width="25.42578125" style="9" customWidth="1"/>
    <col min="9221" max="9221" width="9.140625" style="9" customWidth="1"/>
    <col min="9222" max="9222" width="8.42578125" style="9" customWidth="1"/>
    <col min="9223" max="9223" width="33.5703125" style="9" customWidth="1"/>
    <col min="9224" max="9224" width="11.140625" style="9" customWidth="1"/>
    <col min="9225" max="9474" width="11.42578125" style="9"/>
    <col min="9475" max="9475" width="5.42578125" style="9" customWidth="1"/>
    <col min="9476" max="9476" width="25.42578125" style="9" customWidth="1"/>
    <col min="9477" max="9477" width="9.140625" style="9" customWidth="1"/>
    <col min="9478" max="9478" width="8.42578125" style="9" customWidth="1"/>
    <col min="9479" max="9479" width="33.5703125" style="9" customWidth="1"/>
    <col min="9480" max="9480" width="11.140625" style="9" customWidth="1"/>
    <col min="9481" max="9730" width="11.42578125" style="9"/>
    <col min="9731" max="9731" width="5.42578125" style="9" customWidth="1"/>
    <col min="9732" max="9732" width="25.42578125" style="9" customWidth="1"/>
    <col min="9733" max="9733" width="9.140625" style="9" customWidth="1"/>
    <col min="9734" max="9734" width="8.42578125" style="9" customWidth="1"/>
    <col min="9735" max="9735" width="33.5703125" style="9" customWidth="1"/>
    <col min="9736" max="9736" width="11.140625" style="9" customWidth="1"/>
    <col min="9737" max="9986" width="11.42578125" style="9"/>
    <col min="9987" max="9987" width="5.42578125" style="9" customWidth="1"/>
    <col min="9988" max="9988" width="25.42578125" style="9" customWidth="1"/>
    <col min="9989" max="9989" width="9.140625" style="9" customWidth="1"/>
    <col min="9990" max="9990" width="8.42578125" style="9" customWidth="1"/>
    <col min="9991" max="9991" width="33.5703125" style="9" customWidth="1"/>
    <col min="9992" max="9992" width="11.140625" style="9" customWidth="1"/>
    <col min="9993" max="10242" width="11.42578125" style="9"/>
    <col min="10243" max="10243" width="5.42578125" style="9" customWidth="1"/>
    <col min="10244" max="10244" width="25.42578125" style="9" customWidth="1"/>
    <col min="10245" max="10245" width="9.140625" style="9" customWidth="1"/>
    <col min="10246" max="10246" width="8.42578125" style="9" customWidth="1"/>
    <col min="10247" max="10247" width="33.5703125" style="9" customWidth="1"/>
    <col min="10248" max="10248" width="11.140625" style="9" customWidth="1"/>
    <col min="10249" max="10498" width="11.42578125" style="9"/>
    <col min="10499" max="10499" width="5.42578125" style="9" customWidth="1"/>
    <col min="10500" max="10500" width="25.42578125" style="9" customWidth="1"/>
    <col min="10501" max="10501" width="9.140625" style="9" customWidth="1"/>
    <col min="10502" max="10502" width="8.42578125" style="9" customWidth="1"/>
    <col min="10503" max="10503" width="33.5703125" style="9" customWidth="1"/>
    <col min="10504" max="10504" width="11.140625" style="9" customWidth="1"/>
    <col min="10505" max="10754" width="11.42578125" style="9"/>
    <col min="10755" max="10755" width="5.42578125" style="9" customWidth="1"/>
    <col min="10756" max="10756" width="25.42578125" style="9" customWidth="1"/>
    <col min="10757" max="10757" width="9.140625" style="9" customWidth="1"/>
    <col min="10758" max="10758" width="8.42578125" style="9" customWidth="1"/>
    <col min="10759" max="10759" width="33.5703125" style="9" customWidth="1"/>
    <col min="10760" max="10760" width="11.140625" style="9" customWidth="1"/>
    <col min="10761" max="11010" width="11.42578125" style="9"/>
    <col min="11011" max="11011" width="5.42578125" style="9" customWidth="1"/>
    <col min="11012" max="11012" width="25.42578125" style="9" customWidth="1"/>
    <col min="11013" max="11013" width="9.140625" style="9" customWidth="1"/>
    <col min="11014" max="11014" width="8.42578125" style="9" customWidth="1"/>
    <col min="11015" max="11015" width="33.5703125" style="9" customWidth="1"/>
    <col min="11016" max="11016" width="11.140625" style="9" customWidth="1"/>
    <col min="11017" max="11266" width="11.42578125" style="9"/>
    <col min="11267" max="11267" width="5.42578125" style="9" customWidth="1"/>
    <col min="11268" max="11268" width="25.42578125" style="9" customWidth="1"/>
    <col min="11269" max="11269" width="9.140625" style="9" customWidth="1"/>
    <col min="11270" max="11270" width="8.42578125" style="9" customWidth="1"/>
    <col min="11271" max="11271" width="33.5703125" style="9" customWidth="1"/>
    <col min="11272" max="11272" width="11.140625" style="9" customWidth="1"/>
    <col min="11273" max="11522" width="11.42578125" style="9"/>
    <col min="11523" max="11523" width="5.42578125" style="9" customWidth="1"/>
    <col min="11524" max="11524" width="25.42578125" style="9" customWidth="1"/>
    <col min="11525" max="11525" width="9.140625" style="9" customWidth="1"/>
    <col min="11526" max="11526" width="8.42578125" style="9" customWidth="1"/>
    <col min="11527" max="11527" width="33.5703125" style="9" customWidth="1"/>
    <col min="11528" max="11528" width="11.140625" style="9" customWidth="1"/>
    <col min="11529" max="11778" width="11.42578125" style="9"/>
    <col min="11779" max="11779" width="5.42578125" style="9" customWidth="1"/>
    <col min="11780" max="11780" width="25.42578125" style="9" customWidth="1"/>
    <col min="11781" max="11781" width="9.140625" style="9" customWidth="1"/>
    <col min="11782" max="11782" width="8.42578125" style="9" customWidth="1"/>
    <col min="11783" max="11783" width="33.5703125" style="9" customWidth="1"/>
    <col min="11784" max="11784" width="11.140625" style="9" customWidth="1"/>
    <col min="11785" max="12034" width="11.42578125" style="9"/>
    <col min="12035" max="12035" width="5.42578125" style="9" customWidth="1"/>
    <col min="12036" max="12036" width="25.42578125" style="9" customWidth="1"/>
    <col min="12037" max="12037" width="9.140625" style="9" customWidth="1"/>
    <col min="12038" max="12038" width="8.42578125" style="9" customWidth="1"/>
    <col min="12039" max="12039" width="33.5703125" style="9" customWidth="1"/>
    <col min="12040" max="12040" width="11.140625" style="9" customWidth="1"/>
    <col min="12041" max="12290" width="11.42578125" style="9"/>
    <col min="12291" max="12291" width="5.42578125" style="9" customWidth="1"/>
    <col min="12292" max="12292" width="25.42578125" style="9" customWidth="1"/>
    <col min="12293" max="12293" width="9.140625" style="9" customWidth="1"/>
    <col min="12294" max="12294" width="8.42578125" style="9" customWidth="1"/>
    <col min="12295" max="12295" width="33.5703125" style="9" customWidth="1"/>
    <col min="12296" max="12296" width="11.140625" style="9" customWidth="1"/>
    <col min="12297" max="12546" width="11.42578125" style="9"/>
    <col min="12547" max="12547" width="5.42578125" style="9" customWidth="1"/>
    <col min="12548" max="12548" width="25.42578125" style="9" customWidth="1"/>
    <col min="12549" max="12549" width="9.140625" style="9" customWidth="1"/>
    <col min="12550" max="12550" width="8.42578125" style="9" customWidth="1"/>
    <col min="12551" max="12551" width="33.5703125" style="9" customWidth="1"/>
    <col min="12552" max="12552" width="11.140625" style="9" customWidth="1"/>
    <col min="12553" max="12802" width="11.42578125" style="9"/>
    <col min="12803" max="12803" width="5.42578125" style="9" customWidth="1"/>
    <col min="12804" max="12804" width="25.42578125" style="9" customWidth="1"/>
    <col min="12805" max="12805" width="9.140625" style="9" customWidth="1"/>
    <col min="12806" max="12806" width="8.42578125" style="9" customWidth="1"/>
    <col min="12807" max="12807" width="33.5703125" style="9" customWidth="1"/>
    <col min="12808" max="12808" width="11.140625" style="9" customWidth="1"/>
    <col min="12809" max="13058" width="11.42578125" style="9"/>
    <col min="13059" max="13059" width="5.42578125" style="9" customWidth="1"/>
    <col min="13060" max="13060" width="25.42578125" style="9" customWidth="1"/>
    <col min="13061" max="13061" width="9.140625" style="9" customWidth="1"/>
    <col min="13062" max="13062" width="8.42578125" style="9" customWidth="1"/>
    <col min="13063" max="13063" width="33.5703125" style="9" customWidth="1"/>
    <col min="13064" max="13064" width="11.140625" style="9" customWidth="1"/>
    <col min="13065" max="13314" width="11.42578125" style="9"/>
    <col min="13315" max="13315" width="5.42578125" style="9" customWidth="1"/>
    <col min="13316" max="13316" width="25.42578125" style="9" customWidth="1"/>
    <col min="13317" max="13317" width="9.140625" style="9" customWidth="1"/>
    <col min="13318" max="13318" width="8.42578125" style="9" customWidth="1"/>
    <col min="13319" max="13319" width="33.5703125" style="9" customWidth="1"/>
    <col min="13320" max="13320" width="11.140625" style="9" customWidth="1"/>
    <col min="13321" max="13570" width="11.42578125" style="9"/>
    <col min="13571" max="13571" width="5.42578125" style="9" customWidth="1"/>
    <col min="13572" max="13572" width="25.42578125" style="9" customWidth="1"/>
    <col min="13573" max="13573" width="9.140625" style="9" customWidth="1"/>
    <col min="13574" max="13574" width="8.42578125" style="9" customWidth="1"/>
    <col min="13575" max="13575" width="33.5703125" style="9" customWidth="1"/>
    <col min="13576" max="13576" width="11.140625" style="9" customWidth="1"/>
    <col min="13577" max="13826" width="11.42578125" style="9"/>
    <col min="13827" max="13827" width="5.42578125" style="9" customWidth="1"/>
    <col min="13828" max="13828" width="25.42578125" style="9" customWidth="1"/>
    <col min="13829" max="13829" width="9.140625" style="9" customWidth="1"/>
    <col min="13830" max="13830" width="8.42578125" style="9" customWidth="1"/>
    <col min="13831" max="13831" width="33.5703125" style="9" customWidth="1"/>
    <col min="13832" max="13832" width="11.140625" style="9" customWidth="1"/>
    <col min="13833" max="14082" width="11.42578125" style="9"/>
    <col min="14083" max="14083" width="5.42578125" style="9" customWidth="1"/>
    <col min="14084" max="14084" width="25.42578125" style="9" customWidth="1"/>
    <col min="14085" max="14085" width="9.140625" style="9" customWidth="1"/>
    <col min="14086" max="14086" width="8.42578125" style="9" customWidth="1"/>
    <col min="14087" max="14087" width="33.5703125" style="9" customWidth="1"/>
    <col min="14088" max="14088" width="11.140625" style="9" customWidth="1"/>
    <col min="14089" max="14338" width="11.42578125" style="9"/>
    <col min="14339" max="14339" width="5.42578125" style="9" customWidth="1"/>
    <col min="14340" max="14340" width="25.42578125" style="9" customWidth="1"/>
    <col min="14341" max="14341" width="9.140625" style="9" customWidth="1"/>
    <col min="14342" max="14342" width="8.42578125" style="9" customWidth="1"/>
    <col min="14343" max="14343" width="33.5703125" style="9" customWidth="1"/>
    <col min="14344" max="14344" width="11.140625" style="9" customWidth="1"/>
    <col min="14345" max="14594" width="11.42578125" style="9"/>
    <col min="14595" max="14595" width="5.42578125" style="9" customWidth="1"/>
    <col min="14596" max="14596" width="25.42578125" style="9" customWidth="1"/>
    <col min="14597" max="14597" width="9.140625" style="9" customWidth="1"/>
    <col min="14598" max="14598" width="8.42578125" style="9" customWidth="1"/>
    <col min="14599" max="14599" width="33.5703125" style="9" customWidth="1"/>
    <col min="14600" max="14600" width="11.140625" style="9" customWidth="1"/>
    <col min="14601" max="14850" width="11.42578125" style="9"/>
    <col min="14851" max="14851" width="5.42578125" style="9" customWidth="1"/>
    <col min="14852" max="14852" width="25.42578125" style="9" customWidth="1"/>
    <col min="14853" max="14853" width="9.140625" style="9" customWidth="1"/>
    <col min="14854" max="14854" width="8.42578125" style="9" customWidth="1"/>
    <col min="14855" max="14855" width="33.5703125" style="9" customWidth="1"/>
    <col min="14856" max="14856" width="11.140625" style="9" customWidth="1"/>
    <col min="14857" max="15106" width="11.42578125" style="9"/>
    <col min="15107" max="15107" width="5.42578125" style="9" customWidth="1"/>
    <col min="15108" max="15108" width="25.42578125" style="9" customWidth="1"/>
    <col min="15109" max="15109" width="9.140625" style="9" customWidth="1"/>
    <col min="15110" max="15110" width="8.42578125" style="9" customWidth="1"/>
    <col min="15111" max="15111" width="33.5703125" style="9" customWidth="1"/>
    <col min="15112" max="15112" width="11.140625" style="9" customWidth="1"/>
    <col min="15113" max="15362" width="11.42578125" style="9"/>
    <col min="15363" max="15363" width="5.42578125" style="9" customWidth="1"/>
    <col min="15364" max="15364" width="25.42578125" style="9" customWidth="1"/>
    <col min="15365" max="15365" width="9.140625" style="9" customWidth="1"/>
    <col min="15366" max="15366" width="8.42578125" style="9" customWidth="1"/>
    <col min="15367" max="15367" width="33.5703125" style="9" customWidth="1"/>
    <col min="15368" max="15368" width="11.140625" style="9" customWidth="1"/>
    <col min="15369" max="15618" width="11.42578125" style="9"/>
    <col min="15619" max="15619" width="5.42578125" style="9" customWidth="1"/>
    <col min="15620" max="15620" width="25.42578125" style="9" customWidth="1"/>
    <col min="15621" max="15621" width="9.140625" style="9" customWidth="1"/>
    <col min="15622" max="15622" width="8.42578125" style="9" customWidth="1"/>
    <col min="15623" max="15623" width="33.5703125" style="9" customWidth="1"/>
    <col min="15624" max="15624" width="11.140625" style="9" customWidth="1"/>
    <col min="15625" max="15874" width="11.42578125" style="9"/>
    <col min="15875" max="15875" width="5.42578125" style="9" customWidth="1"/>
    <col min="15876" max="15876" width="25.42578125" style="9" customWidth="1"/>
    <col min="15877" max="15877" width="9.140625" style="9" customWidth="1"/>
    <col min="15878" max="15878" width="8.42578125" style="9" customWidth="1"/>
    <col min="15879" max="15879" width="33.5703125" style="9" customWidth="1"/>
    <col min="15880" max="15880" width="11.140625" style="9" customWidth="1"/>
    <col min="15881" max="16130" width="11.42578125" style="9"/>
    <col min="16131" max="16131" width="5.42578125" style="9" customWidth="1"/>
    <col min="16132" max="16132" width="25.42578125" style="9" customWidth="1"/>
    <col min="16133" max="16133" width="9.140625" style="9" customWidth="1"/>
    <col min="16134" max="16134" width="8.42578125" style="9" customWidth="1"/>
    <col min="16135" max="16135" width="33.5703125" style="9" customWidth="1"/>
    <col min="16136" max="16136" width="11.140625" style="9" customWidth="1"/>
    <col min="16137" max="16384" width="11.42578125" style="9"/>
  </cols>
  <sheetData>
    <row r="1" spans="1:14" s="193" customFormat="1" ht="18.75" customHeight="1" x14ac:dyDescent="0.3">
      <c r="J1" s="202" t="s">
        <v>48</v>
      </c>
      <c r="K1" s="194"/>
      <c r="L1" s="194"/>
      <c r="M1" s="194"/>
      <c r="N1" s="194"/>
    </row>
    <row r="2" spans="1:14" s="193" customFormat="1" ht="18.75" customHeight="1" x14ac:dyDescent="0.3">
      <c r="J2" s="201" t="s">
        <v>42</v>
      </c>
      <c r="K2" s="194"/>
      <c r="L2" s="194"/>
      <c r="M2" s="194"/>
      <c r="N2" s="194"/>
    </row>
    <row r="3" spans="1:14" s="193" customFormat="1" ht="18.75" customHeight="1" x14ac:dyDescent="0.3">
      <c r="J3" s="203" t="s">
        <v>263</v>
      </c>
      <c r="K3" s="194"/>
      <c r="L3" s="194"/>
      <c r="M3" s="194"/>
      <c r="N3" s="194"/>
    </row>
    <row r="4" spans="1:14" ht="21.75" customHeight="1" thickBot="1" x14ac:dyDescent="0.35">
      <c r="A4" s="227" t="s">
        <v>300</v>
      </c>
      <c r="B4" s="228"/>
      <c r="C4" s="228"/>
      <c r="D4" s="228"/>
      <c r="E4" s="228"/>
      <c r="F4" s="228"/>
      <c r="G4" s="228"/>
      <c r="H4" s="228"/>
      <c r="I4" s="228"/>
      <c r="J4" s="229"/>
    </row>
    <row r="5" spans="1:14" s="193" customFormat="1" ht="8.25" customHeight="1" x14ac:dyDescent="0.3">
      <c r="K5" s="194"/>
      <c r="L5" s="194"/>
      <c r="M5" s="194"/>
      <c r="N5" s="194"/>
    </row>
    <row r="6" spans="1:14" s="193" customFormat="1" ht="18" customHeight="1" x14ac:dyDescent="0.3">
      <c r="A6" s="204"/>
      <c r="B6" s="205" t="s">
        <v>264</v>
      </c>
      <c r="C6" s="226" t="str">
        <f>base_consulta_estado!$B$1</f>
        <v>Tabasco</v>
      </c>
      <c r="D6" s="226"/>
      <c r="E6" s="226"/>
      <c r="F6" s="226"/>
      <c r="G6" s="204"/>
      <c r="H6" s="204"/>
      <c r="I6" s="204"/>
      <c r="J6" s="204"/>
      <c r="K6" s="194"/>
      <c r="L6" s="194"/>
      <c r="M6" s="194"/>
      <c r="N6" s="194"/>
    </row>
    <row r="7" spans="1:14" s="18" customFormat="1" ht="4.5" customHeight="1" x14ac:dyDescent="0.25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195"/>
      <c r="L7" s="195"/>
      <c r="M7" s="195"/>
      <c r="N7" s="195"/>
    </row>
    <row r="8" spans="1:14" ht="18.75" customHeight="1" x14ac:dyDescent="0.3">
      <c r="A8" s="209" t="s">
        <v>33</v>
      </c>
      <c r="B8" s="209" t="s">
        <v>265</v>
      </c>
      <c r="C8" s="209" t="s">
        <v>293</v>
      </c>
      <c r="D8" s="209" t="s">
        <v>294</v>
      </c>
      <c r="E8" s="209" t="s">
        <v>295</v>
      </c>
      <c r="F8" s="209" t="s">
        <v>296</v>
      </c>
      <c r="G8" s="209" t="s">
        <v>297</v>
      </c>
      <c r="H8" s="209" t="s">
        <v>298</v>
      </c>
      <c r="I8" s="209" t="s">
        <v>299</v>
      </c>
      <c r="J8" s="209" t="s">
        <v>266</v>
      </c>
    </row>
    <row r="9" spans="1:14" ht="27" customHeight="1" x14ac:dyDescent="0.3">
      <c r="A9" s="210">
        <v>1</v>
      </c>
      <c r="B9" s="211" t="s">
        <v>100</v>
      </c>
      <c r="C9" s="212">
        <f>GETPIVOTDATA("_COB",base_consulta_estado!$A$3,"Año",2012)</f>
        <v>3.2931749775725736</v>
      </c>
      <c r="D9" s="212">
        <f>GETPIVOTDATA("_COB",base_consulta_estado!$A$3,"Año",2013)</f>
        <v>3.3836690194395715</v>
      </c>
      <c r="E9" s="212">
        <f>GETPIVOTDATA("_COB",base_consulta_estado!$A$3,"Año",2014)</f>
        <v>3.5617293242825547</v>
      </c>
      <c r="F9" s="212">
        <f>GETPIVOTDATA("_COB",base_consulta_estado!$A$3,"Año",2015)</f>
        <v>3.5601737520163219</v>
      </c>
      <c r="G9" s="212">
        <f>GETPIVOTDATA("_COB",base_consulta_estado!$A$3,"Año",2016)</f>
        <v>3.5292418708898343</v>
      </c>
      <c r="H9" s="212">
        <f>GETPIVOTDATA("_COB",base_consulta_estado!$A$3,"Año",2017)</f>
        <v>3.6598557729650807</v>
      </c>
      <c r="I9" s="212">
        <f>GETPIVOTDATA("_COB",base_consulta_estado!$A$3,"Año",2018)</f>
        <v>3.7082124213714782</v>
      </c>
      <c r="J9" s="213">
        <f t="shared" ref="J9:J28" si="0">IF(COUNTIF(C9:I9,"&gt;0")=0,0,(SUM(C9:I9)/COUNTIF(C9:I9,"&gt;0")))</f>
        <v>3.5280081626482023</v>
      </c>
      <c r="L9" s="196"/>
    </row>
    <row r="10" spans="1:14" ht="27" customHeight="1" x14ac:dyDescent="0.3">
      <c r="A10" s="210">
        <v>2</v>
      </c>
      <c r="B10" s="211" t="s">
        <v>101</v>
      </c>
      <c r="C10" s="213">
        <f>GETPIVOTDATA("_ATN",base_consulta_estado!$A$3,"Año",2012)</f>
        <v>94.978540772532199</v>
      </c>
      <c r="D10" s="213">
        <f>GETPIVOTDATA("_ATN",base_consulta_estado!$A$3,"Año",2013)</f>
        <v>100</v>
      </c>
      <c r="E10" s="213">
        <f>GETPIVOTDATA("_ATN",base_consulta_estado!$A$3,"Año",2014)</f>
        <v>100</v>
      </c>
      <c r="F10" s="213">
        <f>GETPIVOTDATA("_ATN",base_consulta_estado!$A$3,"Año",2015)</f>
        <v>0</v>
      </c>
      <c r="G10" s="213">
        <f>GETPIVOTDATA("_ATN",base_consulta_estado!$A$3,"Año",2016)</f>
        <v>97.233748271092665</v>
      </c>
      <c r="H10" s="213">
        <f>GETPIVOTDATA("_ATN",base_consulta_estado!$A$3,"Año",2017)</f>
        <v>99.954689623923869</v>
      </c>
      <c r="I10" s="213">
        <f>GETPIVOTDATA("_ATN",base_consulta_estado!$A$3,"Año",2018)</f>
        <v>100</v>
      </c>
      <c r="J10" s="213">
        <f t="shared" si="0"/>
        <v>98.694496444591451</v>
      </c>
      <c r="L10" s="196"/>
    </row>
    <row r="11" spans="1:14" ht="27" customHeight="1" x14ac:dyDescent="0.3">
      <c r="A11" s="210">
        <v>3</v>
      </c>
      <c r="B11" s="211" t="s">
        <v>96</v>
      </c>
      <c r="C11" s="213">
        <f>GETPIVOTDATA("_ABS",base_consulta_estado!$A$3,"Año",2012)</f>
        <v>6.0119532735669656</v>
      </c>
      <c r="D11" s="213">
        <f>GETPIVOTDATA("_ABS",base_consulta_estado!$A$3,"Año",2013)</f>
        <v>5.9016035780517067</v>
      </c>
      <c r="E11" s="213">
        <f>GETPIVOTDATA("_ABS",base_consulta_estado!$A$3,"Año",2014)</f>
        <v>5.8281216303644596</v>
      </c>
      <c r="F11" s="213">
        <f>GETPIVOTDATA("_ABS",base_consulta_estado!$A$3,"Año",2015)</f>
        <v>5.3210109920884969</v>
      </c>
      <c r="G11" s="214">
        <f>GETPIVOTDATA("_ABS",base_consulta_estado!$A$3,"Año",2016)</f>
        <v>5.0827850480803987</v>
      </c>
      <c r="H11" s="214">
        <f>GETPIVOTDATA("_ABS",base_consulta_estado!$A$3,"Año",2017)</f>
        <v>5.471908718839142</v>
      </c>
      <c r="I11" s="214">
        <f>GETPIVOTDATA("_ABS",base_consulta_estado!$A$3,"Año",2018)</f>
        <v>4.9960022290601609</v>
      </c>
      <c r="J11" s="213">
        <f t="shared" si="0"/>
        <v>5.5161979242930474</v>
      </c>
      <c r="L11" s="196"/>
    </row>
    <row r="12" spans="1:14" ht="27" customHeight="1" x14ac:dyDescent="0.3">
      <c r="A12" s="215">
        <v>4</v>
      </c>
      <c r="B12" s="216" t="s">
        <v>99</v>
      </c>
      <c r="C12" s="217">
        <f>GETPIVOTDATA("_MAT",base_consulta_estado!$A$3,"Año",2012)</f>
        <v>5305</v>
      </c>
      <c r="D12" s="217">
        <f>GETPIVOTDATA("_MAT",base_consulta_estado!$A$3,"Año",2013)</f>
        <v>5452</v>
      </c>
      <c r="E12" s="217">
        <f>GETPIVOTDATA("_MAT",base_consulta_estado!$A$3,"Año",2014)</f>
        <v>5650</v>
      </c>
      <c r="F12" s="217">
        <f>GETPIVOTDATA("_MAT",base_consulta_estado!$A$3,"Año",2015)</f>
        <v>5739</v>
      </c>
      <c r="G12" s="218">
        <f>GETPIVOTDATA("_MAT",base_consulta_estado!$A$3,"Año",2016)</f>
        <v>5584</v>
      </c>
      <c r="H12" s="218">
        <f>GETPIVOTDATA("_MAT",base_consulta_estado!$A$3,"Año",2017)</f>
        <v>5685</v>
      </c>
      <c r="I12" s="218">
        <f>GETPIVOTDATA("_MAT",base_consulta_estado!$A$3,"Año",2018)</f>
        <v>5608</v>
      </c>
      <c r="J12" s="219">
        <f t="shared" si="0"/>
        <v>5574.7142857142853</v>
      </c>
      <c r="L12" s="196"/>
    </row>
    <row r="13" spans="1:14" ht="27" customHeight="1" x14ac:dyDescent="0.3">
      <c r="A13" s="210">
        <v>5</v>
      </c>
      <c r="B13" s="211" t="s">
        <v>98</v>
      </c>
      <c r="C13" s="213">
        <f>GETPIVOTDATA("_ACI",base_consulta_estado!$A$3,"Año",2012)</f>
        <v>87.25328947368422</v>
      </c>
      <c r="D13" s="213">
        <f>GETPIVOTDATA("_ACI",base_consulta_estado!$A$3,"Año",2013)</f>
        <v>86.265822784810126</v>
      </c>
      <c r="E13" s="213">
        <f>GETPIVOTDATA("_ACI",base_consulta_estado!$A$3,"Año",2014)</f>
        <v>92.92763157894737</v>
      </c>
      <c r="F13" s="213">
        <f>GETPIVOTDATA("_ACI",base_consulta_estado!$A$3,"Año",2015)</f>
        <v>94.391447368421055</v>
      </c>
      <c r="G13" s="214">
        <f>GETPIVOTDATA("_ACI",base_consulta_estado!$A$3,"Año",2016)</f>
        <v>91.84210526315789</v>
      </c>
      <c r="H13" s="214">
        <f>GETPIVOTDATA("_ACI",base_consulta_estado!$A$3,"Año",2017)</f>
        <v>79.845505617977537</v>
      </c>
      <c r="I13" s="214">
        <f>GETPIVOTDATA("_ACI",base_consulta_estado!$A$3,"Año",2018)</f>
        <v>79.659090909090907</v>
      </c>
      <c r="J13" s="213">
        <f t="shared" si="0"/>
        <v>87.454984713727001</v>
      </c>
      <c r="L13" s="196"/>
    </row>
    <row r="14" spans="1:14" ht="27" customHeight="1" x14ac:dyDescent="0.3">
      <c r="A14" s="210">
        <v>6</v>
      </c>
      <c r="B14" s="211" t="s">
        <v>161</v>
      </c>
      <c r="C14" s="213">
        <f>GETPIVOTDATA("_AE",base_consulta_estado!$A$3,"Año",2012)</f>
        <v>14.444444444444448</v>
      </c>
      <c r="D14" s="213">
        <f>GETPIVOTDATA("_AE",base_consulta_estado!$A$3,"Año",2013)</f>
        <v>13.741753063147977</v>
      </c>
      <c r="E14" s="213">
        <f>GETPIVOTDATA("_AE",base_consulta_estado!$A$3,"Año",2014)</f>
        <v>13.077769625825386</v>
      </c>
      <c r="F14" s="213">
        <f>GETPIVOTDATA("_AE",base_consulta_estado!$A$3,"Año",2015)</f>
        <v>12.672566371681416</v>
      </c>
      <c r="G14" s="214">
        <f>GETPIVOTDATA("_AE",base_consulta_estado!$A$3,"Año",2016)</f>
        <v>13.451820874716846</v>
      </c>
      <c r="H14" s="214">
        <f>GETPIVOTDATA("_AE",base_consulta_estado!$A$3,"Año",2017)</f>
        <v>12.625358166189116</v>
      </c>
      <c r="I14" s="214">
        <f>GETPIVOTDATA("_AE",base_consulta_estado!$A$3,"Año",2018)</f>
        <v>10.765171503957783</v>
      </c>
      <c r="J14" s="213">
        <f t="shared" si="0"/>
        <v>12.968412007137568</v>
      </c>
      <c r="L14" s="196"/>
    </row>
    <row r="15" spans="1:14" ht="27" customHeight="1" x14ac:dyDescent="0.3">
      <c r="A15" s="210">
        <v>7</v>
      </c>
      <c r="B15" s="211" t="s">
        <v>162</v>
      </c>
      <c r="C15" s="213">
        <f>GETPIVOTDATA("_REP",base_consulta_estado!$A$3,"Año",2012)</f>
        <v>17.059377945334589</v>
      </c>
      <c r="D15" s="213">
        <f>GETPIVOTDATA("_REP",base_consulta_estado!$A$3,"Año",2013)</f>
        <v>16.709464416727808</v>
      </c>
      <c r="E15" s="213">
        <f>GETPIVOTDATA("_REP",base_consulta_estado!$A$3,"Año",2014)</f>
        <v>16.79646017699115</v>
      </c>
      <c r="F15" s="213">
        <f>GETPIVOTDATA("_REP",base_consulta_estado!$A$3,"Año",2015)</f>
        <v>36.50461752918627</v>
      </c>
      <c r="G15" s="214">
        <f>GETPIVOTDATA("_REP",base_consulta_estado!$A$3,"Año",2016)</f>
        <v>26.07449856733524</v>
      </c>
      <c r="H15" s="214">
        <f>GETPIVOTDATA("_REP",base_consulta_estado!$A$3,"Año",2017)</f>
        <v>33.368513632365875</v>
      </c>
      <c r="I15" s="214">
        <f>GETPIVOTDATA("_REP",base_consulta_estado!$A$3,"Año",2018)</f>
        <v>36.037803138373754</v>
      </c>
      <c r="J15" s="213">
        <f t="shared" si="0"/>
        <v>26.078676486616384</v>
      </c>
      <c r="L15" s="196"/>
    </row>
    <row r="16" spans="1:14" ht="27" customHeight="1" x14ac:dyDescent="0.3">
      <c r="A16" s="210">
        <v>8</v>
      </c>
      <c r="B16" s="211" t="s">
        <v>259</v>
      </c>
      <c r="C16" s="213">
        <f>GETPIVOTDATA("_TE",base_consulta_estado!$A$3,"Año",2012)</f>
        <v>0</v>
      </c>
      <c r="D16" s="213">
        <f>GETPIVOTDATA("_TE",base_consulta_estado!$A$3,"Año",2013)</f>
        <v>0</v>
      </c>
      <c r="E16" s="213">
        <f>GETPIVOTDATA("_TE",base_consulta_estado!$A$3,"Año",2014)</f>
        <v>0</v>
      </c>
      <c r="F16" s="213">
        <f>GETPIVOTDATA("_TE",base_consulta_estado!$A$3,"Año",2015)</f>
        <v>0</v>
      </c>
      <c r="G16" s="214">
        <f>GETPIVOTDATA("_TE",base_consulta_estado!$A$3,"Año",2016)</f>
        <v>61.993927125506076</v>
      </c>
      <c r="H16" s="214">
        <f>GETPIVOTDATA("_TE",base_consulta_estado!$A$3,"Año",2017)</f>
        <v>65.793041120650699</v>
      </c>
      <c r="I16" s="214">
        <f>GETPIVOTDATA("_TE",base_consulta_estado!$A$3,"Año",2018)</f>
        <v>66.266173752310536</v>
      </c>
      <c r="J16" s="213">
        <f t="shared" si="0"/>
        <v>64.684380666155775</v>
      </c>
      <c r="L16" s="196"/>
    </row>
    <row r="17" spans="1:13" ht="27" customHeight="1" x14ac:dyDescent="0.3">
      <c r="A17" s="210"/>
      <c r="B17" s="211" t="s">
        <v>267</v>
      </c>
      <c r="C17" s="213">
        <f>GETPIVOTDATA("_ET",base_consulta_estado!$A$3,"Año",2012)</f>
        <v>49.40530649588289</v>
      </c>
      <c r="D17" s="213">
        <f>GETPIVOTDATA("_ET",base_consulta_estado!$A$3,"Año",2013)</f>
        <v>51.892384860921112</v>
      </c>
      <c r="E17" s="213">
        <f>GETPIVOTDATA("_ET",base_consulta_estado!$A$3,"Año",2014)</f>
        <v>54.757085020242911</v>
      </c>
      <c r="F17" s="213">
        <f>GETPIVOTDATA("_ET",base_consulta_estado!$A$3,"Año",2015)</f>
        <v>59.602349751468594</v>
      </c>
      <c r="G17" s="214">
        <f>GETPIVOTDATA("_ET",base_consulta_estado!$A$3,"Año",2016)</f>
        <v>61.968576709796672</v>
      </c>
      <c r="H17" s="214">
        <f>GETPIVOTDATA("_ET",base_consulta_estado!$A$3,"Año",2017)</f>
        <v>60.268270120259018</v>
      </c>
      <c r="I17" s="214">
        <f>GETPIVOTDATA("_ET",base_consulta_estado!$A$3,"Año",2018)</f>
        <v>61.315789473684212</v>
      </c>
      <c r="J17" s="213">
        <f t="shared" si="0"/>
        <v>57.029966061750763</v>
      </c>
      <c r="L17" s="196"/>
    </row>
    <row r="18" spans="1:13" s="19" customFormat="1" ht="27" customHeight="1" x14ac:dyDescent="0.3">
      <c r="A18" s="210">
        <v>9</v>
      </c>
      <c r="B18" s="211" t="s">
        <v>260</v>
      </c>
      <c r="C18" s="213">
        <f>GETPIVOTDATA("_TIT",base_consulta_estado!$A$3,"Año",2012)</f>
        <v>97.563098346388159</v>
      </c>
      <c r="D18" s="213">
        <f>GETPIVOTDATA("_TIT",base_consulta_estado!$A$3,"Año",2013)</f>
        <v>99.351851851851848</v>
      </c>
      <c r="E18" s="213">
        <f>GETPIVOTDATA("_TIT",base_consulta_estado!$A$3,"Año",2014)</f>
        <v>96.836555360281196</v>
      </c>
      <c r="F18" s="213">
        <f>GETPIVOTDATA("_TIT",base_consulta_estado!$A$3,"Año",2015)</f>
        <v>97.504621072088725</v>
      </c>
      <c r="G18" s="214">
        <f>GETPIVOTDATA("_TIT",base_consulta_estado!$A$3,"Año",2016)</f>
        <v>96.133434420015163</v>
      </c>
      <c r="H18" s="214">
        <f>GETPIVOTDATA("_TIT",base_consulta_estado!$A$3,"Año",2017)</f>
        <v>94.705443698732296</v>
      </c>
      <c r="I18" s="214">
        <f>GETPIVOTDATA("_TIT",base_consulta_estado!$A$3,"Año",2018)</f>
        <v>91.711435149654648</v>
      </c>
      <c r="J18" s="213">
        <f t="shared" si="0"/>
        <v>96.258062842716029</v>
      </c>
      <c r="L18" s="196"/>
    </row>
    <row r="19" spans="1:13" s="19" customFormat="1" ht="27" customHeight="1" x14ac:dyDescent="0.3">
      <c r="A19" s="215">
        <v>10</v>
      </c>
      <c r="B19" s="216" t="s">
        <v>163</v>
      </c>
      <c r="C19" s="220">
        <f>GETPIVOTDATA("_COSTO",base_consulta_estado!$A$3,"Año",2012)</f>
        <v>16816.867106503298</v>
      </c>
      <c r="D19" s="220">
        <f>GETPIVOTDATA("_COSTO",base_consulta_estado!$A$3,"Año",2013)</f>
        <v>16946.241012472488</v>
      </c>
      <c r="E19" s="220">
        <f>GETPIVOTDATA("_COSTO",base_consulta_estado!$A$3,"Año",2014)</f>
        <v>16761.894867256637</v>
      </c>
      <c r="F19" s="220">
        <f>GETPIVOTDATA("_COSTO",base_consulta_estado!$A$3,"Año",2015)</f>
        <v>16979.924899808328</v>
      </c>
      <c r="G19" s="221">
        <f>GETPIVOTDATA("_COSTO",base_consulta_estado!$A$3,"Año",2016)</f>
        <v>19092.021755014328</v>
      </c>
      <c r="H19" s="221">
        <f>GETPIVOTDATA("_COSTO",base_consulta_estado!$A$3,"Año",2017)</f>
        <v>19284.007549692175</v>
      </c>
      <c r="I19" s="221">
        <f>GETPIVOTDATA("_COSTO",base_consulta_estado!$A$3,"Año",2018)</f>
        <v>20120.386208987162</v>
      </c>
      <c r="J19" s="220">
        <f t="shared" si="0"/>
        <v>18000.191914247775</v>
      </c>
      <c r="L19" s="196"/>
    </row>
    <row r="20" spans="1:13" s="19" customFormat="1" ht="27" customHeight="1" x14ac:dyDescent="0.3">
      <c r="A20" s="210">
        <v>11</v>
      </c>
      <c r="B20" s="211" t="s">
        <v>35</v>
      </c>
      <c r="C20" s="222">
        <f>GETPIVOTDATA("_ADOC",base_consulta_estado!$A$3,"Año",2012)</f>
        <v>17.450657894736842</v>
      </c>
      <c r="D20" s="222">
        <f>GETPIVOTDATA("_ADOC",base_consulta_estado!$A$3,"Año",2013)</f>
        <v>18.418918918918919</v>
      </c>
      <c r="E20" s="222">
        <f>GETPIVOTDATA("_ADOC",base_consulta_estado!$A$3,"Año",2014)</f>
        <v>19.023569023569024</v>
      </c>
      <c r="F20" s="222">
        <f>GETPIVOTDATA("_ADOC",base_consulta_estado!$A$3,"Año",2015)</f>
        <v>19.454237288135594</v>
      </c>
      <c r="G20" s="222">
        <f>GETPIVOTDATA("_ADOC",base_consulta_estado!$A$3,"Año",2016)</f>
        <v>19.058020477815699</v>
      </c>
      <c r="H20" s="222">
        <f>GETPIVOTDATA("_ADOC",base_consulta_estado!$A$3,"Año",2017)</f>
        <v>19.336734693877553</v>
      </c>
      <c r="I20" s="222">
        <f>GETPIVOTDATA("_ADOC",base_consulta_estado!$A$3,"Año",2018)</f>
        <v>19.07482993197279</v>
      </c>
      <c r="J20" s="213">
        <f t="shared" si="0"/>
        <v>18.83099546128949</v>
      </c>
      <c r="L20" s="196"/>
    </row>
    <row r="21" spans="1:13" s="19" customFormat="1" ht="27" customHeight="1" x14ac:dyDescent="0.3">
      <c r="A21" s="215">
        <v>12</v>
      </c>
      <c r="B21" s="216" t="s">
        <v>289</v>
      </c>
      <c r="C21" s="223">
        <f>GETPIVOTDATA("_BECAS",base_consulta_estado!$A$3,"Año",2012)</f>
        <v>13.986804901036759</v>
      </c>
      <c r="D21" s="223">
        <f>GETPIVOTDATA("_BECAS",base_consulta_estado!$A$3,"Año",2013)</f>
        <v>17.791636096845195</v>
      </c>
      <c r="E21" s="223">
        <f>GETPIVOTDATA("_BECAS",base_consulta_estado!$A$3,"Año",2014)</f>
        <v>8.4070796460176993</v>
      </c>
      <c r="F21" s="223">
        <f>GETPIVOTDATA("_BECAS",base_consulta_estado!$A$3,"Año",2015)</f>
        <v>6.3251437532671195</v>
      </c>
      <c r="G21" s="214">
        <f>GETPIVOTDATA("_BECAS",base_consulta_estado!$A$3,"Año",2016)</f>
        <v>4.8352435530085964</v>
      </c>
      <c r="H21" s="214">
        <f>GETPIVOTDATA("_BECAS",base_consulta_estado!$A$3,"Año",2017)</f>
        <v>6.244503078276165</v>
      </c>
      <c r="I21" s="214">
        <f>GETPIVOTDATA("_BECAS",base_consulta_estado!$A$3,"Año",2018)</f>
        <v>3.049215406562054</v>
      </c>
      <c r="J21" s="213">
        <f t="shared" si="0"/>
        <v>8.662803776430513</v>
      </c>
      <c r="L21" s="196"/>
    </row>
    <row r="22" spans="1:13" s="19" customFormat="1" ht="27" customHeight="1" x14ac:dyDescent="0.3">
      <c r="A22" s="210">
        <v>13</v>
      </c>
      <c r="B22" s="211" t="s">
        <v>268</v>
      </c>
      <c r="C22" s="222">
        <f>GETPIVOTDATA("_APC",base_consulta_estado!$A$3,"Año",2012)</f>
        <v>13.672680412371134</v>
      </c>
      <c r="D22" s="222">
        <f>GETPIVOTDATA("_APC",base_consulta_estado!$A$3,"Año",2013)</f>
        <v>13.169082125603865</v>
      </c>
      <c r="E22" s="222">
        <f>GETPIVOTDATA("_APC",base_consulta_estado!$A$3,"Año",2014)</f>
        <v>11.368209255533198</v>
      </c>
      <c r="F22" s="222">
        <f>GETPIVOTDATA("_APC",base_consulta_estado!$A$3,"Año",2015)</f>
        <v>11.54728370221328</v>
      </c>
      <c r="G22" s="222">
        <f>GETPIVOTDATA("_APC",base_consulta_estado!$A$3,"Año",2016)</f>
        <v>11.537190082644628</v>
      </c>
      <c r="H22" s="222">
        <f>GETPIVOTDATA("_APC",base_consulta_estado!$A$3,"Año",2017)</f>
        <v>11.745867768595041</v>
      </c>
      <c r="I22" s="222">
        <f>GETPIVOTDATA("_APC",base_consulta_estado!$A$3,"Año",2018)</f>
        <v>11.586776859504132</v>
      </c>
      <c r="J22" s="213">
        <f t="shared" si="0"/>
        <v>12.089584315209324</v>
      </c>
      <c r="L22" s="196"/>
    </row>
    <row r="23" spans="1:13" s="19" customFormat="1" ht="27" customHeight="1" x14ac:dyDescent="0.3">
      <c r="A23" s="215">
        <v>14</v>
      </c>
      <c r="B23" s="216" t="s">
        <v>269</v>
      </c>
      <c r="C23" s="223">
        <f>GETPIVOTDATA("_ADMPC",base_consulta_estado!$A$3,"Año",2012)</f>
        <v>2</v>
      </c>
      <c r="D23" s="223">
        <f>GETPIVOTDATA("_ADMPC",base_consulta_estado!$A$3,"Año",2013)</f>
        <v>1.5714285714285714</v>
      </c>
      <c r="E23" s="223">
        <f>GETPIVOTDATA("_ADMPC",base_consulta_estado!$A$3,"Año",2014)</f>
        <v>1.4724409448818898</v>
      </c>
      <c r="F23" s="223">
        <f>GETPIVOTDATA("_ADMPC",base_consulta_estado!$A$3,"Año",2015)</f>
        <v>1.4724409448818898</v>
      </c>
      <c r="G23" s="224">
        <f>GETPIVOTDATA("_ADMPC",base_consulta_estado!$A$3,"Año",2016)</f>
        <v>1.8155339805825244</v>
      </c>
      <c r="H23" s="224">
        <f>GETPIVOTDATA("_ADMPC",base_consulta_estado!$A$3,"Año",2017)</f>
        <v>1.8155339805825244</v>
      </c>
      <c r="I23" s="224">
        <f>GETPIVOTDATA("_ADMPC",base_consulta_estado!$A$3,"Año",2018)</f>
        <v>1.8155339805825244</v>
      </c>
      <c r="J23" s="213">
        <f t="shared" si="0"/>
        <v>1.7089874861342746</v>
      </c>
      <c r="L23" s="196"/>
      <c r="M23" s="197"/>
    </row>
    <row r="24" spans="1:13" s="19" customFormat="1" ht="27" customHeight="1" x14ac:dyDescent="0.3">
      <c r="A24" s="210">
        <v>15</v>
      </c>
      <c r="B24" s="211" t="s">
        <v>290</v>
      </c>
      <c r="C24" s="219">
        <f>GETPIVOTDATA("_CAP",base_consulta_estado!$A$3,"Año",2012)</f>
        <v>4008</v>
      </c>
      <c r="D24" s="219">
        <f>GETPIVOTDATA("_CAP",base_consulta_estado!$A$3,"Año",2013)</f>
        <v>3145</v>
      </c>
      <c r="E24" s="219">
        <f>GETPIVOTDATA("_CAP",base_consulta_estado!$A$3,"Año",2014)</f>
        <v>1647</v>
      </c>
      <c r="F24" s="219">
        <f>GETPIVOTDATA("_CAP",base_consulta_estado!$A$3,"Año",2015)</f>
        <v>682</v>
      </c>
      <c r="G24" s="225">
        <f>GETPIVOTDATA("_CAP",base_consulta_estado!$A$3,"Año",2016)</f>
        <v>1976</v>
      </c>
      <c r="H24" s="225">
        <f>GETPIVOTDATA("_CAP",base_consulta_estado!$A$3,"Año",2017)</f>
        <v>1011</v>
      </c>
      <c r="I24" s="225">
        <f>GETPIVOTDATA("_CAP",base_consulta_estado!$A$3,"Año",2018)</f>
        <v>430</v>
      </c>
      <c r="J24" s="219">
        <f t="shared" si="0"/>
        <v>1842.7142857142858</v>
      </c>
      <c r="L24" s="196"/>
    </row>
    <row r="25" spans="1:13" s="19" customFormat="1" ht="27" customHeight="1" x14ac:dyDescent="0.3">
      <c r="A25" s="210">
        <v>16</v>
      </c>
      <c r="B25" s="211" t="s">
        <v>291</v>
      </c>
      <c r="C25" s="219" t="str">
        <f>IF(GETPIVOTDATA("_SERVTEC",base_consulta_estado!$A$3,"Año",2012)=0,"-",GETPIVOTDATA("_SERVTEC",base_consulta_estado!$A$3,"Año",2012))</f>
        <v>-</v>
      </c>
      <c r="D25" s="219" t="str">
        <f>IF(GETPIVOTDATA("_SERVTEC",base_consulta_estado!$A$3,"Año",2012)=0,"-",GETPIVOTDATA("_SERVTEC",base_consulta_estado!$A$3,"Año",2013))</f>
        <v>-</v>
      </c>
      <c r="E25" s="219" t="str">
        <f>IF(GETPIVOTDATA("_SERVTEC",base_consulta_estado!$A$3,"Año",2012)=0,"-",GETPIVOTDATA("_SERVTEC",base_consulta_estado!$A$3,"Año",2014))</f>
        <v>-</v>
      </c>
      <c r="F25" s="219" t="str">
        <f>IF(GETPIVOTDATA("_SERVTEC",base_consulta_estado!$A$3,"Año",2012)=0,"-",GETPIVOTDATA("_SERVTEC",base_consulta_estado!$A$3,"Año",2015))</f>
        <v>-</v>
      </c>
      <c r="G25" s="219" t="str">
        <f>IF(GETPIVOTDATA("_SERVTEC",base_consulta_estado!$A$3,"Año",2012)=0,"-",GETPIVOTDATA("_SERVTEC",base_consulta_estado!$A$3,"Año",2016))</f>
        <v>-</v>
      </c>
      <c r="H25" s="219" t="str">
        <f>IF(GETPIVOTDATA("_SERVTEC",base_consulta_estado!$A$3,"Año",2012)=0,"-",GETPIVOTDATA("_SERVTEC",base_consulta_estado!$A$3,"Año",2017))</f>
        <v>-</v>
      </c>
      <c r="I25" s="219" t="str">
        <f>IF(GETPIVOTDATA("_SERVTEC",base_consulta_estado!$A$3,"Año",2012)=0,"-",GETPIVOTDATA("_SERVTEC",base_consulta_estado!$A$3,"Año",2018))</f>
        <v>-</v>
      </c>
      <c r="J25" s="222">
        <f t="shared" si="0"/>
        <v>0</v>
      </c>
      <c r="L25" s="196"/>
    </row>
    <row r="26" spans="1:13" s="19" customFormat="1" ht="27" customHeight="1" x14ac:dyDescent="0.3">
      <c r="A26" s="210">
        <v>17</v>
      </c>
      <c r="B26" s="211" t="s">
        <v>292</v>
      </c>
      <c r="C26" s="219">
        <f>GETPIVOTDATA("_CERTIFIC",base_consulta_estado!$A$3,"Año",2012)</f>
        <v>0</v>
      </c>
      <c r="D26" s="219">
        <f>GETPIVOTDATA("_CERTIFIC",base_consulta_estado!$A$3,"Año",2013)</f>
        <v>503</v>
      </c>
      <c r="E26" s="219">
        <f>GETPIVOTDATA("_CERTIFIC",base_consulta_estado!$A$3,"Año",2014)</f>
        <v>494</v>
      </c>
      <c r="F26" s="219">
        <f>GETPIVOTDATA("_CERTIFIC",base_consulta_estado!$A$3,"Año",2015)</f>
        <v>221</v>
      </c>
      <c r="G26" s="219">
        <f>GETPIVOTDATA("_CERTIFIC",base_consulta_estado!$A$3,"Año",2016)</f>
        <v>28</v>
      </c>
      <c r="H26" s="219">
        <f>GETPIVOTDATA("_CERTIFIC",base_consulta_estado!$A$3,"Año",2017)</f>
        <v>8</v>
      </c>
      <c r="I26" s="219">
        <f>GETPIVOTDATA("_CERTIFIC",base_consulta_estado!$A$3,"Año",2018)</f>
        <v>71</v>
      </c>
      <c r="J26" s="219">
        <f t="shared" si="0"/>
        <v>220.83333333333334</v>
      </c>
      <c r="L26" s="196"/>
    </row>
    <row r="27" spans="1:13" s="19" customFormat="1" ht="27" customHeight="1" x14ac:dyDescent="0.3">
      <c r="A27" s="215">
        <v>18</v>
      </c>
      <c r="B27" s="216" t="s">
        <v>165</v>
      </c>
      <c r="C27" s="223">
        <f>GETPIVOTDATA("_BECEXT",base_consulta_estado!$A$3,"Año",2012)</f>
        <v>0</v>
      </c>
      <c r="D27" s="223">
        <f>GETPIVOTDATA("_BECEXT",base_consulta_estado!$A$3,"Año",2013)</f>
        <v>0.40352164343360231</v>
      </c>
      <c r="E27" s="223">
        <f>GETPIVOTDATA("_BECEXT",base_consulta_estado!$A$3,"Año",2014)</f>
        <v>0.31858407079646017</v>
      </c>
      <c r="F27" s="223">
        <f>GETPIVOTDATA("_BECEXT",base_consulta_estado!$A$3,"Año",2015)</f>
        <v>0</v>
      </c>
      <c r="G27" s="214">
        <f>GETPIVOTDATA("_BECEXT",base_consulta_estado!$A$3,"Año",2016)</f>
        <v>2.3101719197707737</v>
      </c>
      <c r="H27" s="214">
        <f>GETPIVOTDATA("_BECEXT",base_consulta_estado!$A$3,"Año",2017)</f>
        <v>7.036059806508356E-2</v>
      </c>
      <c r="I27" s="214">
        <f>GETPIVOTDATA("_BECEXT",base_consulta_estado!$A$3,"Año",2018)</f>
        <v>0.48145506419400852</v>
      </c>
      <c r="J27" s="213">
        <f t="shared" si="0"/>
        <v>0.71681865925198573</v>
      </c>
      <c r="L27" s="196"/>
    </row>
    <row r="28" spans="1:13" s="19" customFormat="1" ht="27" customHeight="1" x14ac:dyDescent="0.3">
      <c r="A28" s="210">
        <v>19</v>
      </c>
      <c r="B28" s="211" t="s">
        <v>270</v>
      </c>
      <c r="C28" s="213">
        <f>GETPIVOTDATA("_PCSINEMS",base_consulta_estado!$A$3,"Año",2012)</f>
        <v>0</v>
      </c>
      <c r="D28" s="213">
        <f>GETPIVOTDATA("_PCSINEMS",base_consulta_estado!$A$3,"Año",2013)</f>
        <v>11.958914159941306</v>
      </c>
      <c r="E28" s="213">
        <f>GETPIVOTDATA("_PCSINEMS",base_consulta_estado!$A$3,"Año",2014)</f>
        <v>66.247787610619469</v>
      </c>
      <c r="F28" s="213">
        <f>GETPIVOTDATA("_PCSINEMS",base_consulta_estado!$A$3,"Año",2015)</f>
        <v>66.199999999999989</v>
      </c>
      <c r="G28" s="213">
        <f>GETPIVOTDATA("_PCSINEMS",base_consulta_estado!$A$3,"Año",2016)</f>
        <v>65.3</v>
      </c>
      <c r="H28" s="213">
        <f>GETPIVOTDATA("_PCSINEMS",base_consulta_estado!$A$3,"Año",2017)</f>
        <v>65.7</v>
      </c>
      <c r="I28" s="213">
        <f>GETPIVOTDATA("_PCSINEMS",base_consulta_estado!$A$3,"Año",2018)</f>
        <v>65.67</v>
      </c>
      <c r="J28" s="213">
        <f t="shared" si="0"/>
        <v>56.846116961760124</v>
      </c>
      <c r="L28" s="196"/>
    </row>
    <row r="29" spans="1:13" s="19" customFormat="1" x14ac:dyDescent="0.3">
      <c r="A29" s="198"/>
      <c r="B29" s="199"/>
      <c r="C29" s="200"/>
      <c r="D29" s="200"/>
      <c r="E29" s="200"/>
      <c r="F29" s="200"/>
      <c r="G29" s="198"/>
      <c r="H29" s="198"/>
      <c r="I29" s="198"/>
      <c r="J29" s="198"/>
    </row>
  </sheetData>
  <mergeCells count="2">
    <mergeCell ref="C6:F6"/>
    <mergeCell ref="A4:J4"/>
  </mergeCells>
  <printOptions horizontalCentered="1"/>
  <pageMargins left="0.25" right="0.25" top="0.75" bottom="0.75" header="0.3" footer="0.3"/>
  <pageSetup scale="77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269DCBA0-24DA-4FA0-9D52-9852906E112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C9:I9</xm:sqref>
        </x14:conditionalFormatting>
        <x14:conditionalFormatting xmlns:xm="http://schemas.microsoft.com/office/excel/2006/main">
          <x14:cfRule type="iconSet" priority="19" id="{AB3AFA98-7AA5-47B6-A236-05308051E54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C10:I10</xm:sqref>
        </x14:conditionalFormatting>
        <x14:conditionalFormatting xmlns:xm="http://schemas.microsoft.com/office/excel/2006/main">
          <x14:cfRule type="iconSet" priority="18" id="{BB076D63-2844-4B86-9282-2452254E98A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C11:I11</xm:sqref>
        </x14:conditionalFormatting>
        <x14:conditionalFormatting xmlns:xm="http://schemas.microsoft.com/office/excel/2006/main">
          <x14:cfRule type="iconSet" priority="17" id="{9F1A3BB0-390C-4548-A209-2931122BE01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C12:I12</xm:sqref>
        </x14:conditionalFormatting>
        <x14:conditionalFormatting xmlns:xm="http://schemas.microsoft.com/office/excel/2006/main">
          <x14:cfRule type="iconSet" priority="16" id="{08F89DE1-EB53-468A-BE40-7B4F1BF0CEE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C13:I13</xm:sqref>
        </x14:conditionalFormatting>
        <x14:conditionalFormatting xmlns:xm="http://schemas.microsoft.com/office/excel/2006/main">
          <x14:cfRule type="iconSet" priority="15" id="{58B30B70-A609-4890-9885-5CECE49B9E95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C14:I14</xm:sqref>
        </x14:conditionalFormatting>
        <x14:conditionalFormatting xmlns:xm="http://schemas.microsoft.com/office/excel/2006/main">
          <x14:cfRule type="iconSet" priority="14" id="{0FF9C742-7126-400D-902F-FB2CF84A69E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C15:I15</xm:sqref>
        </x14:conditionalFormatting>
        <x14:conditionalFormatting xmlns:xm="http://schemas.microsoft.com/office/excel/2006/main">
          <x14:cfRule type="iconSet" priority="13" id="{CBC3DD0D-3554-4A46-8DAD-F4A4EC3B9E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C16:I16</xm:sqref>
        </x14:conditionalFormatting>
        <x14:conditionalFormatting xmlns:xm="http://schemas.microsoft.com/office/excel/2006/main">
          <x14:cfRule type="iconSet" priority="12" id="{78C61692-77A2-489C-BDF8-BC72464D99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C17:I17</xm:sqref>
        </x14:conditionalFormatting>
        <x14:conditionalFormatting xmlns:xm="http://schemas.microsoft.com/office/excel/2006/main">
          <x14:cfRule type="iconSet" priority="11" id="{87D51F09-71EF-423A-A297-F4FDCD7E37E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C18:I18</xm:sqref>
        </x14:conditionalFormatting>
        <x14:conditionalFormatting xmlns:xm="http://schemas.microsoft.com/office/excel/2006/main">
          <x14:cfRule type="iconSet" priority="10" id="{876BF356-823B-46AB-92C0-72F161E4C7D5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C20:I20</xm:sqref>
        </x14:conditionalFormatting>
        <x14:conditionalFormatting xmlns:xm="http://schemas.microsoft.com/office/excel/2006/main">
          <x14:cfRule type="iconSet" priority="9" id="{DB71B07A-A617-424A-BD45-BBD138956B4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C21:I21</xm:sqref>
        </x14:conditionalFormatting>
        <x14:conditionalFormatting xmlns:xm="http://schemas.microsoft.com/office/excel/2006/main">
          <x14:cfRule type="iconSet" priority="8" id="{BE0FEFEE-C09D-44DA-B181-1405A340A135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C22:I22</xm:sqref>
        </x14:conditionalFormatting>
        <x14:conditionalFormatting xmlns:xm="http://schemas.microsoft.com/office/excel/2006/main">
          <x14:cfRule type="iconSet" priority="7" id="{1DE35994-0B91-4454-92DC-013CFAC6D128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C23:I23</xm:sqref>
        </x14:conditionalFormatting>
        <x14:conditionalFormatting xmlns:xm="http://schemas.microsoft.com/office/excel/2006/main">
          <x14:cfRule type="iconSet" priority="6" id="{C40201F0-CEB5-44E6-B859-4A86FA5854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C24:I24</xm:sqref>
        </x14:conditionalFormatting>
        <x14:conditionalFormatting xmlns:xm="http://schemas.microsoft.com/office/excel/2006/main">
          <x14:cfRule type="iconSet" priority="5" id="{351B422C-922C-4876-8A39-F1CBEA1B5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C25:I25</xm:sqref>
        </x14:conditionalFormatting>
        <x14:conditionalFormatting xmlns:xm="http://schemas.microsoft.com/office/excel/2006/main">
          <x14:cfRule type="iconSet" priority="4" id="{334428DE-FDDD-432E-AC10-3404846EB11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C26:I26</xm:sqref>
        </x14:conditionalFormatting>
        <x14:conditionalFormatting xmlns:xm="http://schemas.microsoft.com/office/excel/2006/main">
          <x14:cfRule type="iconSet" priority="3" id="{71D37D56-B08A-4AD0-ABF4-F753D0E1955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C27:I27</xm:sqref>
        </x14:conditionalFormatting>
        <x14:conditionalFormatting xmlns:xm="http://schemas.microsoft.com/office/excel/2006/main">
          <x14:cfRule type="iconSet" priority="2" id="{3B8A1600-D289-4975-AA07-CF33824EB9E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C28:I28</xm:sqref>
        </x14:conditionalFormatting>
        <x14:conditionalFormatting xmlns:xm="http://schemas.microsoft.com/office/excel/2006/main">
          <x14:cfRule type="iconSet" priority="1" id="{83A23C16-1B61-4B7D-A581-9EF77A4BB8A7}">
            <x14:iconSet iconSet="3Triangles" reverse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C19:I19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4" zoomScale="120" zoomScaleNormal="120" workbookViewId="0">
      <selection activeCell="A6" sqref="A6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180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6">
        <f>$B$56</f>
        <v>26.106167031303979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6">
        <f>$C$56</f>
        <v>26.683890016608231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6">
        <f>$D$56</f>
        <v>28.235531945213104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6">
        <f>$E$56</f>
        <v>42.124057317704413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6">
        <f>$F$56</f>
        <v>29.91384153727742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6">
        <f>$G$56</f>
        <v>40.422236190573926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6">
        <f>$H$56</f>
        <v>38.245105713979449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-2.1771304765944777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181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24.368127100326586</v>
      </c>
      <c r="C19" s="84">
        <v>25.462797132881722</v>
      </c>
      <c r="D19" s="84">
        <v>26.318772118238705</v>
      </c>
      <c r="E19" s="84">
        <v>40.115106556120345</v>
      </c>
      <c r="F19" s="84">
        <v>29.814404108789542</v>
      </c>
      <c r="G19" s="84">
        <v>38.235767004563129</v>
      </c>
      <c r="H19" s="84">
        <v>36.298979358109811</v>
      </c>
      <c r="I19" s="119">
        <f>H19-G19</f>
        <v>-1.9367876464533182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11.423297785069728</v>
      </c>
      <c r="C20" s="84">
        <v>13.632514817950888</v>
      </c>
      <c r="D20" s="84">
        <v>9.7192683964270525</v>
      </c>
      <c r="E20" s="84">
        <v>30.38164665523156</v>
      </c>
      <c r="F20" s="84">
        <v>23.811581676750215</v>
      </c>
      <c r="G20" s="84">
        <v>29.57957957957958</v>
      </c>
      <c r="H20" s="84">
        <v>33.510978469409508</v>
      </c>
      <c r="I20" s="120">
        <f t="shared" ref="I20:I56" si="0">H20-G20</f>
        <v>3.9313988898299286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28.728489483747609</v>
      </c>
      <c r="C21" s="84">
        <v>30.379906601034961</v>
      </c>
      <c r="D21" s="84">
        <v>36.073908730158735</v>
      </c>
      <c r="E21" s="84">
        <v>50.036337209302332</v>
      </c>
      <c r="F21" s="84">
        <v>46.526576019777508</v>
      </c>
      <c r="G21" s="84">
        <v>43.532549399927262</v>
      </c>
      <c r="H21" s="84">
        <v>38.950602694398491</v>
      </c>
      <c r="I21" s="120">
        <f t="shared" si="0"/>
        <v>-4.5819467055287717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29.337539432176658</v>
      </c>
      <c r="C22" s="84">
        <v>27.308066083576289</v>
      </c>
      <c r="D22" s="84">
        <v>24.821610601427118</v>
      </c>
      <c r="E22" s="84">
        <v>42.773333333333333</v>
      </c>
      <c r="F22" s="84">
        <v>34.611288604898824</v>
      </c>
      <c r="G22" s="84">
        <v>99.399038461538453</v>
      </c>
      <c r="H22" s="84">
        <v>29.228049499116089</v>
      </c>
      <c r="I22" s="120">
        <f t="shared" si="0"/>
        <v>-70.170988962422371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27.628755364806867</v>
      </c>
      <c r="C23" s="84">
        <v>31.347150259067359</v>
      </c>
      <c r="D23" s="84">
        <v>28.362877997914492</v>
      </c>
      <c r="E23" s="84">
        <v>39.682539682539684</v>
      </c>
      <c r="F23" s="84">
        <v>25.994550408719348</v>
      </c>
      <c r="G23" s="84">
        <v>31.785516860143726</v>
      </c>
      <c r="H23" s="84">
        <v>33.755274261603375</v>
      </c>
      <c r="I23" s="120">
        <f t="shared" si="0"/>
        <v>1.9697574014596491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18.473479948253559</v>
      </c>
      <c r="C24" s="84">
        <v>20.730166750884287</v>
      </c>
      <c r="D24" s="84">
        <v>21.108319005422562</v>
      </c>
      <c r="E24" s="84">
        <v>28.31001076426265</v>
      </c>
      <c r="F24" s="84">
        <v>26.625182046868794</v>
      </c>
      <c r="G24" s="84">
        <v>34.368250539956804</v>
      </c>
      <c r="H24" s="84">
        <v>31.688533941814036</v>
      </c>
      <c r="I24" s="120">
        <f t="shared" si="0"/>
        <v>-2.6797165981427682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31.100947402809538</v>
      </c>
      <c r="C25" s="84">
        <v>26.631393298059962</v>
      </c>
      <c r="D25" s="84">
        <v>27.282072368421051</v>
      </c>
      <c r="E25" s="84">
        <v>44.275123558484346</v>
      </c>
      <c r="F25" s="84">
        <v>35.118196811434856</v>
      </c>
      <c r="G25" s="84">
        <v>38.052808866673907</v>
      </c>
      <c r="H25" s="84">
        <v>38.341304094249388</v>
      </c>
      <c r="I25" s="120">
        <f t="shared" si="0"/>
        <v>0.28849522757548129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18.386816999132698</v>
      </c>
      <c r="C26" s="84">
        <v>19.579267519959448</v>
      </c>
      <c r="D26" s="84">
        <v>18.502147006819904</v>
      </c>
      <c r="E26" s="84">
        <v>28.339309726580009</v>
      </c>
      <c r="F26" s="84">
        <v>19.758495405001071</v>
      </c>
      <c r="G26" s="84">
        <v>19.511225909000597</v>
      </c>
      <c r="H26" s="84">
        <v>22.542796691671473</v>
      </c>
      <c r="I26" s="120">
        <f t="shared" si="0"/>
        <v>3.031570782670876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43.884120171673821</v>
      </c>
      <c r="C27" s="84">
        <v>45.034519383961765</v>
      </c>
      <c r="D27" s="84">
        <v>46.956977964323187</v>
      </c>
      <c r="E27" s="84">
        <v>60.084033613445378</v>
      </c>
      <c r="F27" s="84">
        <v>45.9214501510574</v>
      </c>
      <c r="G27" s="84">
        <v>50.750267952840304</v>
      </c>
      <c r="H27" s="84">
        <v>47.276573241671073</v>
      </c>
      <c r="I27" s="120">
        <f t="shared" si="0"/>
        <v>-3.4736947111692302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30.720871751886001</v>
      </c>
      <c r="C28" s="84">
        <v>35.391628677994198</v>
      </c>
      <c r="D28" s="84">
        <v>37.937978252114377</v>
      </c>
      <c r="E28" s="84">
        <v>53.079555175363559</v>
      </c>
      <c r="F28" s="84">
        <v>41.316526610644253</v>
      </c>
      <c r="G28" s="84">
        <v>56.70053217223029</v>
      </c>
      <c r="H28" s="84">
        <v>51.139896373056992</v>
      </c>
      <c r="I28" s="120">
        <f t="shared" si="0"/>
        <v>-5.5606357991732978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23.17828990914014</v>
      </c>
      <c r="C29" s="84">
        <v>25.415754923413569</v>
      </c>
      <c r="D29" s="84">
        <v>22.071843455704055</v>
      </c>
      <c r="E29" s="84">
        <v>38.381932532875929</v>
      </c>
      <c r="F29" s="84">
        <v>28.645893663848028</v>
      </c>
      <c r="G29" s="84">
        <v>34.659877124038303</v>
      </c>
      <c r="H29" s="84">
        <v>36.146040150011032</v>
      </c>
      <c r="I29" s="120">
        <f t="shared" si="0"/>
        <v>1.4861630259727292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32.694763729246489</v>
      </c>
      <c r="C30" s="84">
        <v>34.734133790737566</v>
      </c>
      <c r="D30" s="84">
        <v>34.717484799050865</v>
      </c>
      <c r="E30" s="84">
        <v>51.27041742286751</v>
      </c>
      <c r="F30" s="84">
        <v>31.939586645468999</v>
      </c>
      <c r="G30" s="84">
        <v>51.007802340702213</v>
      </c>
      <c r="H30" s="84">
        <v>43.478969677209001</v>
      </c>
      <c r="I30" s="120">
        <f t="shared" si="0"/>
        <v>-7.5288326634932119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26.205962059620596</v>
      </c>
      <c r="C31" s="84">
        <v>29.485219164118249</v>
      </c>
      <c r="D31" s="84">
        <v>25.728987993138936</v>
      </c>
      <c r="E31" s="84">
        <v>41.556692701319683</v>
      </c>
      <c r="F31" s="84">
        <v>33.835800807537012</v>
      </c>
      <c r="G31" s="84">
        <v>38.377192982456144</v>
      </c>
      <c r="H31" s="84">
        <v>33.16283034953112</v>
      </c>
      <c r="I31" s="120">
        <f t="shared" si="0"/>
        <v>-5.2143626329250239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21.373401700525736</v>
      </c>
      <c r="C32" s="84">
        <v>25.059503570214215</v>
      </c>
      <c r="D32" s="84">
        <v>27.404364224137932</v>
      </c>
      <c r="E32" s="84">
        <v>41.980292869850828</v>
      </c>
      <c r="F32" s="84">
        <v>28.004350190320825</v>
      </c>
      <c r="G32" s="84">
        <v>36.025848142164776</v>
      </c>
      <c r="H32" s="84">
        <v>36.25270204309323</v>
      </c>
      <c r="I32" s="120">
        <f t="shared" si="0"/>
        <v>0.22685390092845381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23.767550863803223</v>
      </c>
      <c r="C33" s="84">
        <v>24.460219493185601</v>
      </c>
      <c r="D33" s="84">
        <v>25.028904209309292</v>
      </c>
      <c r="E33" s="84">
        <v>40.826922268465971</v>
      </c>
      <c r="F33" s="84">
        <v>26.515308447611552</v>
      </c>
      <c r="G33" s="84">
        <v>35.823506410652179</v>
      </c>
      <c r="H33" s="84">
        <v>37.731085423361016</v>
      </c>
      <c r="I33" s="120">
        <f t="shared" si="0"/>
        <v>1.9075790127088368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16.586675343691532</v>
      </c>
      <c r="C34" s="84">
        <v>15.202845769458795</v>
      </c>
      <c r="D34" s="84">
        <v>15.797585409709736</v>
      </c>
      <c r="E34" s="84">
        <v>26.748345555356824</v>
      </c>
      <c r="F34" s="84">
        <v>23.860182370820667</v>
      </c>
      <c r="G34" s="84">
        <v>32.832483677667476</v>
      </c>
      <c r="H34" s="84">
        <v>34.355551546856674</v>
      </c>
      <c r="I34" s="120">
        <f t="shared" si="0"/>
        <v>1.5230678691891981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16.021548284118118</v>
      </c>
      <c r="C35" s="84">
        <v>21.073939910505008</v>
      </c>
      <c r="D35" s="84">
        <v>21.224148736160434</v>
      </c>
      <c r="E35" s="84">
        <v>36.921069797782124</v>
      </c>
      <c r="F35" s="84">
        <v>31.574486119940666</v>
      </c>
      <c r="G35" s="84">
        <v>73.153076431764958</v>
      </c>
      <c r="H35" s="84">
        <v>41.056034482758619</v>
      </c>
      <c r="I35" s="120">
        <f t="shared" si="0"/>
        <v>-32.097041949006339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31.744988498192573</v>
      </c>
      <c r="C36" s="84">
        <v>35.232136977280213</v>
      </c>
      <c r="D36" s="84">
        <v>32.264736297828335</v>
      </c>
      <c r="E36" s="84">
        <v>49.884067572043719</v>
      </c>
      <c r="F36" s="84">
        <v>32.237871674491394</v>
      </c>
      <c r="G36" s="84">
        <v>54.812398042414358</v>
      </c>
      <c r="H36" s="84">
        <v>45.776664280601288</v>
      </c>
      <c r="I36" s="120">
        <f t="shared" si="0"/>
        <v>-9.03573376181307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27.585996584532811</v>
      </c>
      <c r="C37" s="84">
        <v>26.385899598627187</v>
      </c>
      <c r="D37" s="84">
        <v>30.88177367621406</v>
      </c>
      <c r="E37" s="84">
        <v>29.635185085980609</v>
      </c>
      <c r="F37" s="84">
        <v>28.4197936911347</v>
      </c>
      <c r="G37" s="84">
        <v>32.359140087115357</v>
      </c>
      <c r="H37" s="84">
        <v>32.509612679358533</v>
      </c>
      <c r="I37" s="120">
        <f t="shared" si="0"/>
        <v>0.150472592243176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13.834726090993502</v>
      </c>
      <c r="C38" s="84">
        <v>11.927992304521094</v>
      </c>
      <c r="D38" s="84">
        <v>12.789400278940027</v>
      </c>
      <c r="E38" s="84">
        <v>23.975869809203143</v>
      </c>
      <c r="F38" s="84">
        <v>18.154269972451793</v>
      </c>
      <c r="G38" s="84">
        <v>28.995832773222208</v>
      </c>
      <c r="H38" s="84">
        <v>29.753761969904239</v>
      </c>
      <c r="I38" s="120">
        <f t="shared" si="0"/>
        <v>0.7579291966820314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23.258128732581287</v>
      </c>
      <c r="C39" s="84">
        <v>27.543424317617866</v>
      </c>
      <c r="D39" s="84">
        <v>28.326554328878562</v>
      </c>
      <c r="E39" s="84">
        <v>58.730614589316488</v>
      </c>
      <c r="F39" s="84">
        <v>42.129900526623757</v>
      </c>
      <c r="G39" s="84">
        <v>58.045640725570514</v>
      </c>
      <c r="H39" s="84">
        <v>58.393319896343222</v>
      </c>
      <c r="I39" s="120">
        <f t="shared" si="0"/>
        <v>0.34767917077270738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19.723661485319514</v>
      </c>
      <c r="C40" s="84">
        <v>25.580079230333901</v>
      </c>
      <c r="D40" s="84">
        <v>22.441187338342161</v>
      </c>
      <c r="E40" s="84">
        <v>58.432687531048188</v>
      </c>
      <c r="F40" s="84">
        <v>20.998892852749414</v>
      </c>
      <c r="G40" s="84">
        <v>35.618186035722573</v>
      </c>
      <c r="H40" s="84">
        <v>29.045401629802097</v>
      </c>
      <c r="I40" s="120">
        <f t="shared" si="0"/>
        <v>-6.5727844059204763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34.958013873676528</v>
      </c>
      <c r="C41" s="84">
        <v>37.613995905453187</v>
      </c>
      <c r="D41" s="84">
        <v>81.554878048780495</v>
      </c>
      <c r="E41" s="84">
        <v>56.264367816091955</v>
      </c>
      <c r="F41" s="84">
        <v>38.81481481481481</v>
      </c>
      <c r="G41" s="84">
        <v>46.727177517891427</v>
      </c>
      <c r="H41" s="84">
        <v>45.122646891043928</v>
      </c>
      <c r="I41" s="120">
        <f t="shared" si="0"/>
        <v>-1.6045306268474988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25.407779171894607</v>
      </c>
      <c r="C42" s="84">
        <v>24.683000214915108</v>
      </c>
      <c r="D42" s="84">
        <v>22.30769230769231</v>
      </c>
      <c r="E42" s="84">
        <v>36.597695744180584</v>
      </c>
      <c r="F42" s="84">
        <v>33.944486885663352</v>
      </c>
      <c r="G42" s="84">
        <v>39.069604756908014</v>
      </c>
      <c r="H42" s="84">
        <v>41.469084146908415</v>
      </c>
      <c r="I42" s="120">
        <f t="shared" si="0"/>
        <v>2.3994793900004012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39.885359445903987</v>
      </c>
      <c r="C43" s="84">
        <v>35.403100775193799</v>
      </c>
      <c r="D43" s="84">
        <v>34.484325306678784</v>
      </c>
      <c r="E43" s="84">
        <v>47.002278553118771</v>
      </c>
      <c r="F43" s="84">
        <v>43.847903802404943</v>
      </c>
      <c r="G43" s="84">
        <v>46.232899129410228</v>
      </c>
      <c r="H43" s="84">
        <v>29.785511938486444</v>
      </c>
      <c r="I43" s="120">
        <f t="shared" si="0"/>
        <v>-16.447387190923784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17.059377945334589</v>
      </c>
      <c r="C44" s="84">
        <v>16.709464416727808</v>
      </c>
      <c r="D44" s="84">
        <v>16.79646017699115</v>
      </c>
      <c r="E44" s="84">
        <v>36.50461752918627</v>
      </c>
      <c r="F44" s="84">
        <v>26.07449856733524</v>
      </c>
      <c r="G44" s="84">
        <v>33.368513632365875</v>
      </c>
      <c r="H44" s="84">
        <v>36.037803138373754</v>
      </c>
      <c r="I44" s="120">
        <f t="shared" si="0"/>
        <v>2.6692895060078783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24.576936008069037</v>
      </c>
      <c r="C45" s="84">
        <v>26.060804899387573</v>
      </c>
      <c r="D45" s="84">
        <v>27.130697123154835</v>
      </c>
      <c r="E45" s="84">
        <v>43.680586406041762</v>
      </c>
      <c r="F45" s="84">
        <v>33.699182439242911</v>
      </c>
      <c r="G45" s="84">
        <v>38.991615941196741</v>
      </c>
      <c r="H45" s="84">
        <v>37.571780147662018</v>
      </c>
      <c r="I45" s="120">
        <f t="shared" si="0"/>
        <v>-1.4198357935347232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10.58218076551946</v>
      </c>
      <c r="C46" s="84">
        <v>23.305358295674626</v>
      </c>
      <c r="D46" s="84">
        <v>21.389159363842907</v>
      </c>
      <c r="E46" s="84">
        <v>38.061797752808992</v>
      </c>
      <c r="F46" s="84">
        <v>28.359683794466399</v>
      </c>
      <c r="G46" s="84">
        <v>38.390379278445884</v>
      </c>
      <c r="H46" s="84">
        <v>37.066831683168317</v>
      </c>
      <c r="I46" s="120">
        <f t="shared" si="0"/>
        <v>-1.3235475952775673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21.966504592112372</v>
      </c>
      <c r="C47" s="84">
        <v>23.8896218117854</v>
      </c>
      <c r="D47" s="84">
        <v>17.930732135028496</v>
      </c>
      <c r="E47" s="84">
        <v>35.306100568242741</v>
      </c>
      <c r="F47" s="84">
        <v>23.081057837024296</v>
      </c>
      <c r="G47" s="84">
        <v>34.152495885902354</v>
      </c>
      <c r="H47" s="84">
        <v>34.996613230977644</v>
      </c>
      <c r="I47" s="120">
        <f t="shared" si="0"/>
        <v>0.8441173450752899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27.988205942390564</v>
      </c>
      <c r="C48" s="84">
        <v>30.85812112133533</v>
      </c>
      <c r="D48" s="84">
        <v>26.254251700680271</v>
      </c>
      <c r="E48" s="84">
        <v>45.835916511675968</v>
      </c>
      <c r="F48" s="84">
        <v>29.096597575283532</v>
      </c>
      <c r="G48" s="84">
        <v>47.356409281095473</v>
      </c>
      <c r="H48" s="84">
        <v>48.481991325664723</v>
      </c>
      <c r="I48" s="120">
        <f t="shared" si="0"/>
        <v>1.1255820445692493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41.521486643437861</v>
      </c>
      <c r="C49" s="84">
        <v>40.648095508811828</v>
      </c>
      <c r="D49" s="84">
        <v>45.808736717827628</v>
      </c>
      <c r="E49" s="84">
        <v>55.846422338568935</v>
      </c>
      <c r="F49" s="84">
        <v>51.180124223602483</v>
      </c>
      <c r="G49" s="84">
        <v>54.961340206185568</v>
      </c>
      <c r="H49" s="84">
        <v>65.994798439531849</v>
      </c>
      <c r="I49" s="120">
        <f t="shared" si="0"/>
        <v>11.033458233346281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34.845209527398211</v>
      </c>
      <c r="C50" s="89">
        <v>32.962295845054747</v>
      </c>
      <c r="D50" s="89">
        <v>38.023637025944062</v>
      </c>
      <c r="E50" s="89">
        <v>52.169127041849308</v>
      </c>
      <c r="F50" s="89">
        <v>30.415823692325823</v>
      </c>
      <c r="G50" s="89">
        <v>51.711733080328905</v>
      </c>
      <c r="H50" s="89">
        <v>48.215848516190633</v>
      </c>
      <c r="I50" s="121">
        <f t="shared" si="0"/>
        <v>-3.4958845641382723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35.790992146177267</v>
      </c>
      <c r="C51" s="84">
        <v>34.000654083348905</v>
      </c>
      <c r="D51" s="84">
        <v>39.457831325301207</v>
      </c>
      <c r="E51" s="84">
        <v>53.333931616261331</v>
      </c>
      <c r="F51" s="84">
        <v>30.371418305937304</v>
      </c>
      <c r="G51" s="84">
        <v>53.718447480322084</v>
      </c>
      <c r="H51" s="84">
        <v>49.24027988496637</v>
      </c>
      <c r="I51" s="120">
        <f t="shared" si="0"/>
        <v>-4.4781675953557141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28.725925925925928</v>
      </c>
      <c r="C52" s="84">
        <v>26.230501287293656</v>
      </c>
      <c r="D52" s="84">
        <v>28.125999360409338</v>
      </c>
      <c r="E52" s="84">
        <v>43.929534994445326</v>
      </c>
      <c r="F52" s="84">
        <v>30.725819093901862</v>
      </c>
      <c r="G52" s="84">
        <v>37.805642633228842</v>
      </c>
      <c r="H52" s="84">
        <v>40.817661488143905</v>
      </c>
      <c r="I52" s="120">
        <f t="shared" si="0"/>
        <v>3.0120188549150626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5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5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5" hidden="1" x14ac:dyDescent="0.25">
      <c r="A56" s="57" t="s">
        <v>37</v>
      </c>
      <c r="B56" s="84">
        <v>26.106167031303979</v>
      </c>
      <c r="C56" s="84">
        <v>26.683890016608231</v>
      </c>
      <c r="D56" s="84">
        <v>28.235531945213104</v>
      </c>
      <c r="E56" s="84">
        <v>42.124057317704413</v>
      </c>
      <c r="F56" s="84">
        <v>29.91384153727742</v>
      </c>
      <c r="G56" s="84">
        <v>40.422236190573926</v>
      </c>
      <c r="H56" s="84">
        <v>38.245105713979449</v>
      </c>
      <c r="I56" s="84">
        <f t="shared" si="0"/>
        <v>-2.1771304765944777</v>
      </c>
    </row>
    <row r="57" spans="1:15" ht="8.1" customHeight="1" x14ac:dyDescent="0.25"/>
    <row r="58" spans="1:15" ht="18.75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37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182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6">
        <f>$B$56</f>
        <v>46.427363368393927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6">
        <f>$C$56</f>
        <v>48.03808424697057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6">
        <f>$D$56</f>
        <v>48.253539048830923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6">
        <f>$E$56</f>
        <v>48.868673291408641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6">
        <f>$F$56</f>
        <v>48.588229576711861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6">
        <f>$G$56</f>
        <v>49.173920620036675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6">
        <f>$H$56</f>
        <v>50.182474621570293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1.0085540015336178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185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48.056034820798374</v>
      </c>
      <c r="C19" s="84">
        <v>49.816599197977837</v>
      </c>
      <c r="D19" s="84">
        <v>49.631216026736844</v>
      </c>
      <c r="E19" s="84">
        <v>50.581144658547572</v>
      </c>
      <c r="F19" s="84">
        <v>50.307069376368254</v>
      </c>
      <c r="G19" s="84">
        <v>50.996195434521432</v>
      </c>
      <c r="H19" s="84">
        <v>52.102282966433656</v>
      </c>
      <c r="I19" s="119">
        <f>H19-G19</f>
        <v>1.1060875319122232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59.298029556650242</v>
      </c>
      <c r="C20" s="84">
        <v>60.078168620882188</v>
      </c>
      <c r="D20" s="84">
        <v>58.896007885657966</v>
      </c>
      <c r="E20" s="84">
        <v>58.687466379774065</v>
      </c>
      <c r="F20" s="84">
        <v>58.376214979988561</v>
      </c>
      <c r="G20" s="84">
        <v>64.193548387096783</v>
      </c>
      <c r="H20" s="84">
        <v>60.623229461756381</v>
      </c>
      <c r="I20" s="120">
        <f t="shared" ref="I20:I56" si="0">H20-G20</f>
        <v>-3.570318925340402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45.908543922984357</v>
      </c>
      <c r="C21" s="84">
        <v>47.01534963047186</v>
      </c>
      <c r="D21" s="84">
        <v>42.635001413627364</v>
      </c>
      <c r="E21" s="84">
        <v>44.363317757009348</v>
      </c>
      <c r="F21" s="84">
        <v>43.205128205128204</v>
      </c>
      <c r="G21" s="84">
        <v>38.541348794629229</v>
      </c>
      <c r="H21" s="84">
        <v>38.674335798411398</v>
      </c>
      <c r="I21" s="120">
        <f t="shared" si="0"/>
        <v>0.13298700378216921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51.660516605166052</v>
      </c>
      <c r="C22" s="84">
        <v>50.552486187845304</v>
      </c>
      <c r="D22" s="84">
        <v>56.581196581196579</v>
      </c>
      <c r="E22" s="84">
        <v>50</v>
      </c>
      <c r="F22" s="84">
        <v>51.470588235294116</v>
      </c>
      <c r="G22" s="84">
        <v>49.647390691114246</v>
      </c>
      <c r="H22" s="84">
        <v>52.121212121212125</v>
      </c>
      <c r="I22" s="120">
        <f t="shared" si="0"/>
        <v>2.4738214300978782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39.087018544935809</v>
      </c>
      <c r="C23" s="84">
        <v>45.657894736842103</v>
      </c>
      <c r="D23" s="84">
        <v>41.74252275682705</v>
      </c>
      <c r="E23" s="84">
        <v>45.760598503740646</v>
      </c>
      <c r="F23" s="84">
        <v>42.177722152690869</v>
      </c>
      <c r="G23" s="84">
        <v>46.774193548387096</v>
      </c>
      <c r="H23" s="84">
        <v>46.082337317397077</v>
      </c>
      <c r="I23" s="120">
        <f t="shared" si="0"/>
        <v>-0.69185623099001958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54.60251046025104</v>
      </c>
      <c r="C24" s="84">
        <v>56.82951146560319</v>
      </c>
      <c r="D24" s="84">
        <v>55.619859884252207</v>
      </c>
      <c r="E24" s="84">
        <v>56.696738376127684</v>
      </c>
      <c r="F24" s="84">
        <v>55.79567779960707</v>
      </c>
      <c r="G24" s="84">
        <v>59.458496615603849</v>
      </c>
      <c r="H24" s="84">
        <v>64.38356164383562</v>
      </c>
      <c r="I24" s="120">
        <f t="shared" si="0"/>
        <v>4.9250650282317707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47.257250945775539</v>
      </c>
      <c r="C25" s="84">
        <v>45.201744820065429</v>
      </c>
      <c r="D25" s="84">
        <v>44.161142274349821</v>
      </c>
      <c r="E25" s="84">
        <v>47.485101311084627</v>
      </c>
      <c r="F25" s="84">
        <v>51.416893732970024</v>
      </c>
      <c r="G25" s="84">
        <v>44.849566547679757</v>
      </c>
      <c r="H25" s="84">
        <v>46.472727272727269</v>
      </c>
      <c r="I25" s="120">
        <f t="shared" si="0"/>
        <v>1.6231607250475122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51.122514432328416</v>
      </c>
      <c r="C26" s="84">
        <v>54.252379490328529</v>
      </c>
      <c r="D26" s="84">
        <v>54.309327036599761</v>
      </c>
      <c r="E26" s="84">
        <v>53.956386292834893</v>
      </c>
      <c r="F26" s="84">
        <v>54.421553090332807</v>
      </c>
      <c r="G26" s="84">
        <v>60.665478312537132</v>
      </c>
      <c r="H26" s="84">
        <v>60.679611650485434</v>
      </c>
      <c r="I26" s="120">
        <f t="shared" si="0"/>
        <v>1.4133337948301516E-2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45.371775417298934</v>
      </c>
      <c r="C27" s="84">
        <v>39.974293059125962</v>
      </c>
      <c r="D27" s="84">
        <v>40.074441687344915</v>
      </c>
      <c r="E27" s="84">
        <v>37.395459976105137</v>
      </c>
      <c r="F27" s="84">
        <v>35.424354243542432</v>
      </c>
      <c r="G27" s="84">
        <v>37.059538274605103</v>
      </c>
      <c r="H27" s="84">
        <v>38.844847112117783</v>
      </c>
      <c r="I27" s="120">
        <f t="shared" si="0"/>
        <v>1.7853088375126802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36.802270577105013</v>
      </c>
      <c r="C28" s="84">
        <v>38.492063492063494</v>
      </c>
      <c r="D28" s="84">
        <v>40.401146131805163</v>
      </c>
      <c r="E28" s="84">
        <v>39.43789664551224</v>
      </c>
      <c r="F28" s="84">
        <v>39.432485322896284</v>
      </c>
      <c r="G28" s="84">
        <v>38.829268292682926</v>
      </c>
      <c r="H28" s="84">
        <v>38.461538461538467</v>
      </c>
      <c r="I28" s="120">
        <f t="shared" si="0"/>
        <v>-0.36772983114445879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59.420046932618163</v>
      </c>
      <c r="C29" s="84">
        <v>63.147063479499764</v>
      </c>
      <c r="D29" s="84">
        <v>61.589825119236885</v>
      </c>
      <c r="E29" s="84">
        <v>62.522441651705563</v>
      </c>
      <c r="F29" s="84">
        <v>58.707760861492766</v>
      </c>
      <c r="G29" s="84">
        <v>63.682140047206929</v>
      </c>
      <c r="H29" s="84">
        <v>64.090626939788947</v>
      </c>
      <c r="I29" s="120">
        <f t="shared" si="0"/>
        <v>0.40848689258201887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45.059829059829056</v>
      </c>
      <c r="C30" s="84">
        <v>49.88595633756924</v>
      </c>
      <c r="D30" s="84">
        <v>49.69818913480885</v>
      </c>
      <c r="E30" s="84">
        <v>51.230661040787631</v>
      </c>
      <c r="F30" s="84">
        <v>49.908458440131817</v>
      </c>
      <c r="G30" s="84">
        <v>53.600944510035418</v>
      </c>
      <c r="H30" s="84">
        <v>52.361005331302358</v>
      </c>
      <c r="I30" s="120">
        <f t="shared" si="0"/>
        <v>-1.23993917873306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43.105515587529972</v>
      </c>
      <c r="C31" s="84">
        <v>48.166089965397923</v>
      </c>
      <c r="D31" s="84">
        <v>45.531400966183575</v>
      </c>
      <c r="E31" s="84">
        <v>45.370978332239005</v>
      </c>
      <c r="F31" s="84">
        <v>41.375291375291376</v>
      </c>
      <c r="G31" s="84">
        <v>48.906139731827807</v>
      </c>
      <c r="H31" s="84">
        <v>49.761620977353992</v>
      </c>
      <c r="I31" s="120">
        <f t="shared" si="0"/>
        <v>0.85548124552618532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50.490196078431367</v>
      </c>
      <c r="C32" s="84">
        <v>51.605428666004642</v>
      </c>
      <c r="D32" s="84">
        <v>52.095908786049627</v>
      </c>
      <c r="E32" s="84">
        <v>51.668623176253561</v>
      </c>
      <c r="F32" s="84">
        <v>50.336640680368539</v>
      </c>
      <c r="G32" s="84">
        <v>48.281169830682401</v>
      </c>
      <c r="H32" s="84">
        <v>51.335461112044342</v>
      </c>
      <c r="I32" s="120">
        <f t="shared" si="0"/>
        <v>3.0542912813619409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40.374961126660445</v>
      </c>
      <c r="C33" s="84">
        <v>40.135843025836806</v>
      </c>
      <c r="D33" s="84">
        <v>43.220213029477335</v>
      </c>
      <c r="E33" s="84">
        <v>42.889114954221768</v>
      </c>
      <c r="F33" s="84">
        <v>42.370515868913472</v>
      </c>
      <c r="G33" s="84">
        <v>43.820747402698089</v>
      </c>
      <c r="H33" s="84">
        <v>45.827069492265167</v>
      </c>
      <c r="I33" s="120">
        <f t="shared" si="0"/>
        <v>2.0063220895670781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45.828319294023267</v>
      </c>
      <c r="C34" s="84">
        <v>44.548341566690191</v>
      </c>
      <c r="D34" s="84">
        <v>45.993715632364498</v>
      </c>
      <c r="E34" s="84">
        <v>48.676211021768971</v>
      </c>
      <c r="F34" s="84">
        <v>50.452726889871549</v>
      </c>
      <c r="G34" s="84">
        <v>53.496580630928747</v>
      </c>
      <c r="H34" s="84">
        <v>52.764505119453922</v>
      </c>
      <c r="I34" s="120">
        <f t="shared" si="0"/>
        <v>-0.73207551147482519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52.116141732283459</v>
      </c>
      <c r="C35" s="84">
        <v>57.911250560286867</v>
      </c>
      <c r="D35" s="84">
        <v>54.692082111436946</v>
      </c>
      <c r="E35" s="84">
        <v>56.443556443556439</v>
      </c>
      <c r="F35" s="84">
        <v>56.768558951965062</v>
      </c>
      <c r="G35" s="84">
        <v>52.564728871519293</v>
      </c>
      <c r="H35" s="84">
        <v>53.706583722135825</v>
      </c>
      <c r="I35" s="120">
        <f t="shared" si="0"/>
        <v>1.1418548506165322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54.964257347100876</v>
      </c>
      <c r="C36" s="84">
        <v>49.544764795144161</v>
      </c>
      <c r="D36" s="84">
        <v>48.875936719400499</v>
      </c>
      <c r="E36" s="84">
        <v>48.934490923441196</v>
      </c>
      <c r="F36" s="84">
        <v>51.699029126213588</v>
      </c>
      <c r="G36" s="84">
        <v>53.503184713375795</v>
      </c>
      <c r="H36" s="84">
        <v>49.841772151898731</v>
      </c>
      <c r="I36" s="120">
        <f t="shared" si="0"/>
        <v>-3.6614125614770643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46.86927306047648</v>
      </c>
      <c r="C37" s="84">
        <v>49.589210975042633</v>
      </c>
      <c r="D37" s="84">
        <v>50.698143083345329</v>
      </c>
      <c r="E37" s="84">
        <v>52.042214912280706</v>
      </c>
      <c r="F37" s="84">
        <v>49.028480170348679</v>
      </c>
      <c r="G37" s="84">
        <v>49.153453372749262</v>
      </c>
      <c r="H37" s="84">
        <v>53.240909643682357</v>
      </c>
      <c r="I37" s="120">
        <f t="shared" si="0"/>
        <v>4.0874562709330959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53.675496688741717</v>
      </c>
      <c r="C38" s="84">
        <v>56.90268347882315</v>
      </c>
      <c r="D38" s="84">
        <v>53.836477987421382</v>
      </c>
      <c r="E38" s="84">
        <v>56.88920454545454</v>
      </c>
      <c r="F38" s="84">
        <v>59.758265197298257</v>
      </c>
      <c r="G38" s="84">
        <v>59.226401703335696</v>
      </c>
      <c r="H38" s="84">
        <v>62.686038270729981</v>
      </c>
      <c r="I38" s="120">
        <f t="shared" si="0"/>
        <v>3.4596365673942842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57.008466603951078</v>
      </c>
      <c r="C39" s="84">
        <v>67.080152671755727</v>
      </c>
      <c r="D39" s="84">
        <v>58.784893267651881</v>
      </c>
      <c r="E39" s="84">
        <v>58.654634946677611</v>
      </c>
      <c r="F39" s="84">
        <v>55.976243504083143</v>
      </c>
      <c r="G39" s="84">
        <v>54.945799457994582</v>
      </c>
      <c r="H39" s="84">
        <v>54.221251819505092</v>
      </c>
      <c r="I39" s="120">
        <f t="shared" si="0"/>
        <v>-0.72454763848949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53.748271092669434</v>
      </c>
      <c r="C40" s="84">
        <v>56.268927922471235</v>
      </c>
      <c r="D40" s="84">
        <v>58.028967254408059</v>
      </c>
      <c r="E40" s="84">
        <v>58.204502305397341</v>
      </c>
      <c r="F40" s="84">
        <v>53.477498538866165</v>
      </c>
      <c r="G40" s="84">
        <v>54.447245228664023</v>
      </c>
      <c r="H40" s="84">
        <v>54.35179549604382</v>
      </c>
      <c r="I40" s="120">
        <f t="shared" si="0"/>
        <v>-9.5449732620203065E-2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43.865313653136532</v>
      </c>
      <c r="C41" s="84">
        <v>48.414096916299556</v>
      </c>
      <c r="D41" s="84">
        <v>46.536796536796537</v>
      </c>
      <c r="E41" s="84">
        <v>48.497267759562838</v>
      </c>
      <c r="F41" s="84">
        <v>46.379555134879318</v>
      </c>
      <c r="G41" s="84">
        <v>47.185114503816791</v>
      </c>
      <c r="H41" s="84">
        <v>51.505757307351644</v>
      </c>
      <c r="I41" s="120">
        <f t="shared" si="0"/>
        <v>4.3206428035348523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65.806045340050375</v>
      </c>
      <c r="C42" s="84">
        <v>64.978902953586498</v>
      </c>
      <c r="D42" s="84">
        <v>58.843992507358841</v>
      </c>
      <c r="E42" s="84">
        <v>57.611181702668354</v>
      </c>
      <c r="F42" s="84">
        <v>62.533476164970537</v>
      </c>
      <c r="G42" s="84">
        <v>57.79328680624792</v>
      </c>
      <c r="H42" s="84">
        <v>59.049909801563437</v>
      </c>
      <c r="I42" s="120">
        <f t="shared" si="0"/>
        <v>1.2566229953155172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40.376927470017129</v>
      </c>
      <c r="C43" s="84">
        <v>44.948781349346525</v>
      </c>
      <c r="D43" s="84">
        <v>40.576048509348155</v>
      </c>
      <c r="E43" s="84">
        <v>41.822794691647154</v>
      </c>
      <c r="F43" s="84">
        <v>43.35575349936375</v>
      </c>
      <c r="G43" s="84">
        <v>43.316918747801623</v>
      </c>
      <c r="H43" s="84">
        <v>42.039038554605582</v>
      </c>
      <c r="I43" s="120">
        <f t="shared" si="0"/>
        <v>-1.2778801931960402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49.40530649588289</v>
      </c>
      <c r="C44" s="84">
        <v>51.892384860921112</v>
      </c>
      <c r="D44" s="84">
        <v>54.757085020242911</v>
      </c>
      <c r="E44" s="84">
        <v>59.602349751468594</v>
      </c>
      <c r="F44" s="84">
        <v>61.968576709796672</v>
      </c>
      <c r="G44" s="84">
        <v>60.268270120259018</v>
      </c>
      <c r="H44" s="84">
        <v>61.315789473684212</v>
      </c>
      <c r="I44" s="120">
        <f t="shared" si="0"/>
        <v>1.0475193534251943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50.76837105336687</v>
      </c>
      <c r="C45" s="84">
        <v>53.367379508458349</v>
      </c>
      <c r="D45" s="84">
        <v>50.570676031606673</v>
      </c>
      <c r="E45" s="84">
        <v>49.626235833132384</v>
      </c>
      <c r="F45" s="84">
        <v>50.933040614709114</v>
      </c>
      <c r="G45" s="84">
        <v>54.058672742808312</v>
      </c>
      <c r="H45" s="84">
        <v>52.772249075916974</v>
      </c>
      <c r="I45" s="120">
        <f t="shared" si="0"/>
        <v>-1.2864236668913378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57.969543147208128</v>
      </c>
      <c r="C46" s="84">
        <v>56.884057971014492</v>
      </c>
      <c r="D46" s="84">
        <v>58.028169014084504</v>
      </c>
      <c r="E46" s="84">
        <v>49.174174174174176</v>
      </c>
      <c r="F46" s="84">
        <v>47.596532702915681</v>
      </c>
      <c r="G46" s="84">
        <v>45.915032679738559</v>
      </c>
      <c r="H46" s="84">
        <v>51.968503937007867</v>
      </c>
      <c r="I46" s="120">
        <f t="shared" si="0"/>
        <v>6.0534712572693081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56.415694591728524</v>
      </c>
      <c r="C47" s="84">
        <v>59.767177739920498</v>
      </c>
      <c r="D47" s="84">
        <v>58.055853920515574</v>
      </c>
      <c r="E47" s="84">
        <v>61.196443007275668</v>
      </c>
      <c r="F47" s="84">
        <v>61.088709677419352</v>
      </c>
      <c r="G47" s="84">
        <v>63.90089311437626</v>
      </c>
      <c r="H47" s="84">
        <v>66.167023554603858</v>
      </c>
      <c r="I47" s="120">
        <f t="shared" si="0"/>
        <v>2.2661304402275988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45.052386495925496</v>
      </c>
      <c r="C48" s="84">
        <v>50.608519269776878</v>
      </c>
      <c r="D48" s="84">
        <v>43.471582181259599</v>
      </c>
      <c r="E48" s="84">
        <v>52.634660421545668</v>
      </c>
      <c r="F48" s="84">
        <v>53.340575774035848</v>
      </c>
      <c r="G48" s="84">
        <v>57.469342251950948</v>
      </c>
      <c r="H48" s="84">
        <v>53.842132775744901</v>
      </c>
      <c r="I48" s="120">
        <f t="shared" si="0"/>
        <v>-3.6272094762060476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35.732009925558309</v>
      </c>
      <c r="C49" s="84">
        <v>35.875</v>
      </c>
      <c r="D49" s="84">
        <v>39.204545454545453</v>
      </c>
      <c r="E49" s="84">
        <v>34.810951760104302</v>
      </c>
      <c r="F49" s="84">
        <v>36.454431960049938</v>
      </c>
      <c r="G49" s="84">
        <v>37.410071942446045</v>
      </c>
      <c r="H49" s="84">
        <v>33.632862644415916</v>
      </c>
      <c r="I49" s="120">
        <f t="shared" si="0"/>
        <v>-3.7772092980301295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38.929506273129341</v>
      </c>
      <c r="C50" s="89">
        <v>39.903511821974966</v>
      </c>
      <c r="D50" s="89">
        <v>41.6165448320533</v>
      </c>
      <c r="E50" s="89">
        <v>40.202686321097801</v>
      </c>
      <c r="F50" s="89">
        <v>39.816096499901128</v>
      </c>
      <c r="G50" s="89">
        <v>40.350962237626639</v>
      </c>
      <c r="H50" s="89">
        <v>41.198402130492681</v>
      </c>
      <c r="I50" s="121">
        <f t="shared" si="0"/>
        <v>0.84743989286604204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38.058865464914959</v>
      </c>
      <c r="C51" s="84">
        <v>38.885102239532621</v>
      </c>
      <c r="D51" s="84">
        <v>40.518569682801129</v>
      </c>
      <c r="E51" s="84">
        <v>38.896944010707116</v>
      </c>
      <c r="F51" s="84">
        <v>38.419694930462086</v>
      </c>
      <c r="G51" s="84">
        <v>39.172563962983126</v>
      </c>
      <c r="H51" s="84">
        <v>39.620278529205486</v>
      </c>
      <c r="I51" s="120">
        <f t="shared" si="0"/>
        <v>0.44771456622235917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45.714285714285715</v>
      </c>
      <c r="C52" s="84">
        <v>48.379254457050244</v>
      </c>
      <c r="D52" s="84">
        <v>49.01539563193699</v>
      </c>
      <c r="E52" s="84">
        <v>48.903753251579339</v>
      </c>
      <c r="F52" s="84">
        <v>50.208681135225376</v>
      </c>
      <c r="G52" s="84">
        <v>49.933598937583</v>
      </c>
      <c r="H52" s="84">
        <v>53.465732087227416</v>
      </c>
      <c r="I52" s="120">
        <f t="shared" si="0"/>
        <v>3.5321331496444159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5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5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5" hidden="1" x14ac:dyDescent="0.25">
      <c r="A56" s="57" t="s">
        <v>37</v>
      </c>
      <c r="B56" s="84">
        <v>46.427363368393927</v>
      </c>
      <c r="C56" s="84">
        <v>48.03808424697057</v>
      </c>
      <c r="D56" s="84">
        <v>48.253539048830923</v>
      </c>
      <c r="E56" s="84">
        <v>48.868673291408641</v>
      </c>
      <c r="F56" s="84">
        <v>48.588229576711861</v>
      </c>
      <c r="G56" s="84">
        <v>49.173920620036675</v>
      </c>
      <c r="H56" s="84">
        <v>50.182474621570293</v>
      </c>
      <c r="I56" s="84">
        <f t="shared" si="0"/>
        <v>1.0085540015336178</v>
      </c>
    </row>
    <row r="57" spans="1:15" ht="6" customHeight="1" x14ac:dyDescent="0.25">
      <c r="A57"/>
      <c r="B57"/>
      <c r="C57"/>
      <c r="D57"/>
      <c r="E57"/>
      <c r="F57"/>
      <c r="G57"/>
      <c r="H57"/>
    </row>
    <row r="58" spans="1:15" ht="18.75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="120" zoomScaleNormal="120" workbookViewId="0">
      <selection activeCell="A6" sqref="A6"/>
    </sheetView>
  </sheetViews>
  <sheetFormatPr baseColWidth="10" defaultRowHeight="13.5" x14ac:dyDescent="0.25"/>
  <cols>
    <col min="1" max="1" width="23.42578125" style="56" customWidth="1"/>
    <col min="2" max="4" width="15.7109375" style="56" customWidth="1"/>
    <col min="5" max="8" width="8.7109375" style="56" hidden="1" customWidth="1"/>
    <col min="9" max="9" width="15.7109375" style="56" customWidth="1"/>
    <col min="10" max="10" width="15.140625" style="56" bestFit="1" customWidth="1"/>
    <col min="11" max="11" width="11.5703125" style="56" bestFit="1" customWidth="1"/>
    <col min="12" max="12" width="20.140625" style="56" bestFit="1" customWidth="1"/>
    <col min="13" max="13" width="16.5703125" style="56" bestFit="1" customWidth="1"/>
    <col min="14" max="16384" width="11.42578125" style="56"/>
  </cols>
  <sheetData>
    <row r="1" spans="1:9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9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9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9" s="4" customFormat="1" ht="9.75" customHeight="1" x14ac:dyDescent="0.35">
      <c r="B4" s="1"/>
      <c r="C4" s="1"/>
      <c r="D4" s="1"/>
      <c r="E4" s="1"/>
      <c r="F4" s="1"/>
      <c r="G4" s="1"/>
      <c r="H4" s="72"/>
      <c r="I4" s="6"/>
    </row>
    <row r="5" spans="1:9" s="4" customFormat="1" ht="15" customHeight="1" x14ac:dyDescent="0.25">
      <c r="A5" s="90" t="s">
        <v>186</v>
      </c>
      <c r="B5" s="90"/>
      <c r="C5" s="90"/>
      <c r="D5" s="90"/>
      <c r="E5" s="90"/>
      <c r="F5" s="90"/>
      <c r="G5" s="90"/>
      <c r="H5" s="91"/>
      <c r="I5" s="91"/>
    </row>
    <row r="6" spans="1:9" s="4" customFormat="1" ht="8.1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9" s="77" customFormat="1" ht="19.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9" s="77" customFormat="1" ht="15" hidden="1" customHeight="1" x14ac:dyDescent="0.35">
      <c r="A8" s="86">
        <v>2012</v>
      </c>
      <c r="B8" s="131"/>
      <c r="C8" s="78"/>
      <c r="D8" s="76"/>
      <c r="E8" s="72"/>
      <c r="F8" s="72"/>
      <c r="G8" s="72"/>
      <c r="H8" s="72"/>
      <c r="I8" s="6"/>
    </row>
    <row r="9" spans="1:9" s="77" customFormat="1" ht="15" hidden="1" customHeight="1" x14ac:dyDescent="0.35">
      <c r="A9" s="86">
        <v>2013</v>
      </c>
      <c r="B9" s="131"/>
      <c r="C9" s="76"/>
      <c r="D9" s="76"/>
      <c r="E9" s="72"/>
      <c r="F9" s="72"/>
      <c r="G9" s="72"/>
      <c r="H9" s="72"/>
      <c r="I9" s="6"/>
    </row>
    <row r="10" spans="1:9" s="77" customFormat="1" ht="15" hidden="1" customHeight="1" x14ac:dyDescent="0.35">
      <c r="A10" s="86">
        <v>2014</v>
      </c>
      <c r="B10" s="131"/>
      <c r="C10" s="76"/>
      <c r="D10" s="76"/>
      <c r="E10" s="72"/>
      <c r="F10" s="72"/>
      <c r="G10" s="72"/>
      <c r="H10" s="72"/>
      <c r="I10" s="6"/>
    </row>
    <row r="11" spans="1:9" s="77" customFormat="1" ht="15" hidden="1" customHeight="1" x14ac:dyDescent="0.35">
      <c r="A11" s="86">
        <v>2015</v>
      </c>
      <c r="B11" s="116">
        <f>$E$56</f>
        <v>0</v>
      </c>
      <c r="C11" s="76"/>
      <c r="D11" s="76"/>
      <c r="E11" s="72"/>
      <c r="F11" s="72"/>
      <c r="G11" s="72"/>
      <c r="H11" s="72"/>
      <c r="I11" s="6"/>
    </row>
    <row r="12" spans="1:9" s="77" customFormat="1" ht="20.25" customHeight="1" x14ac:dyDescent="0.35">
      <c r="A12" s="86">
        <v>2016</v>
      </c>
      <c r="B12" s="116">
        <f>$B$56</f>
        <v>54.005089867981546</v>
      </c>
      <c r="C12" s="76"/>
      <c r="D12" s="76"/>
      <c r="E12" s="72"/>
      <c r="F12" s="72"/>
      <c r="G12" s="72"/>
      <c r="H12" s="72"/>
      <c r="I12" s="6"/>
    </row>
    <row r="13" spans="1:9" s="77" customFormat="1" ht="20.25" customHeight="1" x14ac:dyDescent="0.35">
      <c r="A13" s="86">
        <v>2017</v>
      </c>
      <c r="B13" s="116">
        <f>$C$56</f>
        <v>54.439697246091569</v>
      </c>
      <c r="C13" s="76"/>
      <c r="D13" s="76"/>
      <c r="E13" s="72"/>
      <c r="F13" s="72"/>
      <c r="G13" s="72"/>
      <c r="H13" s="72"/>
      <c r="I13" s="6"/>
    </row>
    <row r="14" spans="1:9" s="77" customFormat="1" ht="16.5" customHeight="1" x14ac:dyDescent="0.35">
      <c r="A14" s="86">
        <v>2018</v>
      </c>
      <c r="B14" s="116">
        <f>$D$56</f>
        <v>54.238551133142174</v>
      </c>
      <c r="C14" s="76"/>
      <c r="D14" s="76"/>
      <c r="E14" s="72"/>
      <c r="F14" s="72"/>
      <c r="G14" s="72"/>
      <c r="H14" s="72"/>
      <c r="I14" s="6"/>
    </row>
    <row r="15" spans="1:9" s="77" customFormat="1" ht="20.25" customHeight="1" x14ac:dyDescent="0.35">
      <c r="A15" s="88" t="s">
        <v>47</v>
      </c>
      <c r="B15" s="87">
        <f>B14-B13</f>
        <v>-0.20114611294939522</v>
      </c>
      <c r="C15" s="76"/>
      <c r="D15" s="76"/>
      <c r="E15" s="72"/>
      <c r="F15" s="72"/>
      <c r="G15" s="72"/>
      <c r="H15" s="72"/>
      <c r="I15" s="6"/>
    </row>
    <row r="16" spans="1:9" s="4" customFormat="1" ht="9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1" ht="15" hidden="1" x14ac:dyDescent="0.25">
      <c r="A17" s="94" t="s">
        <v>187</v>
      </c>
      <c r="B17" s="55" t="s">
        <v>45</v>
      </c>
      <c r="E17"/>
      <c r="F17"/>
      <c r="G17"/>
      <c r="H17"/>
      <c r="I17" s="130" t="s">
        <v>170</v>
      </c>
      <c r="J17" s="3"/>
      <c r="K17" s="3"/>
    </row>
    <row r="18" spans="1:11" ht="15" x14ac:dyDescent="0.25">
      <c r="A18" s="55" t="s">
        <v>168</v>
      </c>
      <c r="B18" s="56">
        <v>2016</v>
      </c>
      <c r="C18" s="56">
        <v>2017</v>
      </c>
      <c r="D18" s="56">
        <v>2018</v>
      </c>
      <c r="E18"/>
      <c r="F18"/>
      <c r="G18"/>
      <c r="H18"/>
      <c r="I18" s="95" t="s">
        <v>47</v>
      </c>
      <c r="J18" s="3"/>
      <c r="K18" s="3"/>
    </row>
    <row r="19" spans="1:11" ht="15" x14ac:dyDescent="0.25">
      <c r="A19" s="57" t="s">
        <v>49</v>
      </c>
      <c r="B19" s="84">
        <v>55.288784741563099</v>
      </c>
      <c r="C19" s="84">
        <v>56.08501097132126</v>
      </c>
      <c r="D19" s="84">
        <v>55.82753743921576</v>
      </c>
      <c r="E19"/>
      <c r="F19"/>
      <c r="G19"/>
      <c r="H19"/>
      <c r="I19" s="119">
        <f t="shared" ref="I19:I56" si="0">D19-C19</f>
        <v>-0.25747353210550017</v>
      </c>
      <c r="J19" s="3"/>
      <c r="K19" s="3"/>
    </row>
    <row r="20" spans="1:11" ht="15" x14ac:dyDescent="0.25">
      <c r="A20" s="59" t="s">
        <v>1</v>
      </c>
      <c r="B20" s="84">
        <v>67.274519467718079</v>
      </c>
      <c r="C20" s="84">
        <v>65.519096288327063</v>
      </c>
      <c r="D20" s="84">
        <v>66.037735849056602</v>
      </c>
      <c r="E20"/>
      <c r="F20"/>
      <c r="G20"/>
      <c r="H20"/>
      <c r="I20" s="120">
        <f t="shared" si="0"/>
        <v>0.51863956072953954</v>
      </c>
      <c r="J20" s="3"/>
      <c r="K20" s="3"/>
    </row>
    <row r="21" spans="1:11" ht="15" x14ac:dyDescent="0.25">
      <c r="A21" s="59" t="s">
        <v>3</v>
      </c>
      <c r="B21" s="84">
        <v>49.081142210913207</v>
      </c>
      <c r="C21" s="84">
        <v>49.970794392523366</v>
      </c>
      <c r="D21" s="84">
        <v>49.455128205128204</v>
      </c>
      <c r="E21"/>
      <c r="F21"/>
      <c r="G21"/>
      <c r="H21"/>
      <c r="I21" s="120">
        <f t="shared" si="0"/>
        <v>-0.51566618739516201</v>
      </c>
      <c r="J21" s="3"/>
      <c r="K21" s="3"/>
    </row>
    <row r="22" spans="1:11" ht="15" x14ac:dyDescent="0.25">
      <c r="A22" s="59" t="s">
        <v>4</v>
      </c>
      <c r="B22" s="84">
        <v>64.957264957264954</v>
      </c>
      <c r="C22" s="84">
        <v>60.139860139860133</v>
      </c>
      <c r="D22" s="84">
        <v>58.371040723981906</v>
      </c>
      <c r="E22"/>
      <c r="F22"/>
      <c r="G22"/>
      <c r="H22"/>
      <c r="I22" s="120">
        <f t="shared" si="0"/>
        <v>-1.7688194158782267</v>
      </c>
      <c r="J22" s="3"/>
      <c r="K22" s="3"/>
    </row>
    <row r="23" spans="1:11" ht="15" x14ac:dyDescent="0.25">
      <c r="A23" s="59" t="s">
        <v>5</v>
      </c>
      <c r="B23" s="84">
        <v>48.504551365409618</v>
      </c>
      <c r="C23" s="84">
        <v>51.371571072319199</v>
      </c>
      <c r="D23" s="84">
        <v>47.934918648310386</v>
      </c>
      <c r="E23"/>
      <c r="F23"/>
      <c r="G23"/>
      <c r="H23"/>
      <c r="I23" s="120">
        <f t="shared" si="0"/>
        <v>-3.4366524240088125</v>
      </c>
      <c r="J23" s="3"/>
      <c r="K23" s="3"/>
    </row>
    <row r="24" spans="1:11" ht="15" x14ac:dyDescent="0.25">
      <c r="A24" s="59" t="s">
        <v>6</v>
      </c>
      <c r="B24" s="84">
        <v>62.199208041425521</v>
      </c>
      <c r="C24" s="84">
        <v>63.011797362942403</v>
      </c>
      <c r="D24" s="84">
        <v>61.427635887360843</v>
      </c>
      <c r="E24"/>
      <c r="F24"/>
      <c r="G24"/>
      <c r="H24"/>
      <c r="I24" s="120">
        <f t="shared" si="0"/>
        <v>-1.5841614755815598</v>
      </c>
      <c r="J24" s="3"/>
      <c r="K24" s="3"/>
    </row>
    <row r="25" spans="1:11" ht="15" x14ac:dyDescent="0.25">
      <c r="A25" s="59" t="s">
        <v>7</v>
      </c>
      <c r="B25" s="84">
        <v>47.475777664456906</v>
      </c>
      <c r="C25" s="84">
        <v>51.51370679380215</v>
      </c>
      <c r="D25" s="84">
        <v>55.313351498637594</v>
      </c>
      <c r="E25"/>
      <c r="F25"/>
      <c r="G25"/>
      <c r="H25"/>
      <c r="I25" s="120">
        <f t="shared" si="0"/>
        <v>3.799644704835444</v>
      </c>
      <c r="J25" s="3"/>
      <c r="K25" s="3"/>
    </row>
    <row r="26" spans="1:11" ht="15" x14ac:dyDescent="0.25">
      <c r="A26" s="59" t="s">
        <v>31</v>
      </c>
      <c r="B26" s="84">
        <v>59.415584415584412</v>
      </c>
      <c r="C26" s="84">
        <v>58.286604361370721</v>
      </c>
      <c r="D26" s="84">
        <v>58.954041204437402</v>
      </c>
      <c r="E26"/>
      <c r="F26"/>
      <c r="G26"/>
      <c r="H26"/>
      <c r="I26" s="120">
        <f t="shared" si="0"/>
        <v>0.66743684306668172</v>
      </c>
      <c r="J26" s="3"/>
      <c r="K26" s="3"/>
    </row>
    <row r="27" spans="1:11" ht="15" x14ac:dyDescent="0.25">
      <c r="A27" s="59" t="s">
        <v>8</v>
      </c>
      <c r="B27" s="84">
        <v>46.774193548387096</v>
      </c>
      <c r="C27" s="84">
        <v>43.608124253285546</v>
      </c>
      <c r="D27" s="84">
        <v>42.189421894218945</v>
      </c>
      <c r="E27"/>
      <c r="F27"/>
      <c r="G27"/>
      <c r="H27"/>
      <c r="I27" s="120">
        <f t="shared" si="0"/>
        <v>-1.4187023590666001</v>
      </c>
      <c r="J27" s="3"/>
      <c r="K27" s="3"/>
    </row>
    <row r="28" spans="1:11" ht="15" x14ac:dyDescent="0.25">
      <c r="A28" s="59" t="s">
        <v>9</v>
      </c>
      <c r="B28" s="84">
        <v>44.508118433619863</v>
      </c>
      <c r="C28" s="84">
        <v>43.42701722574796</v>
      </c>
      <c r="D28" s="84">
        <v>44.716242661448142</v>
      </c>
      <c r="E28"/>
      <c r="F28"/>
      <c r="G28"/>
      <c r="H28"/>
      <c r="I28" s="120">
        <f t="shared" si="0"/>
        <v>1.2892254357001818</v>
      </c>
      <c r="J28" s="3"/>
      <c r="K28" s="3"/>
    </row>
    <row r="29" spans="1:11" ht="15" x14ac:dyDescent="0.25">
      <c r="A29" s="59" t="s">
        <v>10</v>
      </c>
      <c r="B29" s="84">
        <v>65.898251192368846</v>
      </c>
      <c r="C29" s="84">
        <v>65.754039497307005</v>
      </c>
      <c r="D29" s="84">
        <v>61.628914469612575</v>
      </c>
      <c r="E29"/>
      <c r="F29"/>
      <c r="G29"/>
      <c r="H29"/>
      <c r="I29" s="120">
        <f t="shared" si="0"/>
        <v>-4.1251250276944305</v>
      </c>
      <c r="J29" s="3"/>
      <c r="K29" s="3"/>
    </row>
    <row r="30" spans="1:11" ht="15" x14ac:dyDescent="0.25">
      <c r="A30" s="59" t="s">
        <v>11</v>
      </c>
      <c r="B30" s="84">
        <v>53.487592219986588</v>
      </c>
      <c r="C30" s="84">
        <v>55.661040787623065</v>
      </c>
      <c r="D30" s="84">
        <v>55.254485536433542</v>
      </c>
      <c r="E30"/>
      <c r="F30"/>
      <c r="G30"/>
      <c r="H30"/>
      <c r="I30" s="120">
        <f t="shared" si="0"/>
        <v>-0.4065552511895234</v>
      </c>
      <c r="J30" s="3"/>
      <c r="K30" s="3"/>
    </row>
    <row r="31" spans="1:11" ht="15" x14ac:dyDescent="0.25">
      <c r="A31" s="59" t="s">
        <v>12</v>
      </c>
      <c r="B31" s="84">
        <v>53.562801932367151</v>
      </c>
      <c r="C31" s="84">
        <v>52.39658568614577</v>
      </c>
      <c r="D31" s="84">
        <v>48.018648018648022</v>
      </c>
      <c r="E31"/>
      <c r="F31"/>
      <c r="G31"/>
      <c r="H31"/>
      <c r="I31" s="120">
        <f t="shared" si="0"/>
        <v>-4.377937667497747</v>
      </c>
      <c r="J31" s="3"/>
      <c r="K31" s="3"/>
    </row>
    <row r="32" spans="1:11" ht="15" x14ac:dyDescent="0.25">
      <c r="A32" s="59" t="s">
        <v>13</v>
      </c>
      <c r="B32" s="84">
        <v>56.941649899396374</v>
      </c>
      <c r="C32" s="84">
        <v>56.833808485661578</v>
      </c>
      <c r="D32" s="84">
        <v>55.829199149539335</v>
      </c>
      <c r="E32"/>
      <c r="F32"/>
      <c r="G32"/>
      <c r="H32"/>
      <c r="I32" s="120">
        <f t="shared" si="0"/>
        <v>-1.0046093361222432</v>
      </c>
      <c r="J32" s="3"/>
      <c r="K32" s="3"/>
    </row>
    <row r="33" spans="1:11" ht="15" x14ac:dyDescent="0.25">
      <c r="A33" s="59" t="s">
        <v>14</v>
      </c>
      <c r="B33" s="84">
        <v>49.665593262323512</v>
      </c>
      <c r="C33" s="84">
        <v>50.249237029501529</v>
      </c>
      <c r="D33" s="84">
        <v>49.658844205520516</v>
      </c>
      <c r="E33"/>
      <c r="F33"/>
      <c r="G33"/>
      <c r="H33"/>
      <c r="I33" s="120">
        <f t="shared" si="0"/>
        <v>-0.59039282398101278</v>
      </c>
      <c r="J33" s="3"/>
      <c r="K33" s="3"/>
    </row>
    <row r="34" spans="1:11" ht="15" x14ac:dyDescent="0.25">
      <c r="A34" s="59" t="s">
        <v>30</v>
      </c>
      <c r="B34" s="84">
        <v>54.241948153967016</v>
      </c>
      <c r="C34" s="84">
        <v>55.559913708570306</v>
      </c>
      <c r="D34" s="84">
        <v>57.527900610654868</v>
      </c>
      <c r="E34"/>
      <c r="F34"/>
      <c r="G34"/>
      <c r="H34"/>
      <c r="I34" s="120">
        <f t="shared" si="0"/>
        <v>1.9679869020845615</v>
      </c>
      <c r="J34" s="3"/>
      <c r="K34" s="3"/>
    </row>
    <row r="35" spans="1:11" ht="15" x14ac:dyDescent="0.25">
      <c r="A35" s="59" t="s">
        <v>15</v>
      </c>
      <c r="B35" s="84">
        <v>59.872922776148584</v>
      </c>
      <c r="C35" s="84">
        <v>61.08891108891109</v>
      </c>
      <c r="D35" s="84">
        <v>61.517467248908297</v>
      </c>
      <c r="E35"/>
      <c r="F35"/>
      <c r="G35"/>
      <c r="H35"/>
      <c r="I35" s="120">
        <f t="shared" si="0"/>
        <v>0.42855615999720698</v>
      </c>
      <c r="J35" s="3"/>
      <c r="K35" s="3"/>
    </row>
    <row r="36" spans="1:11" ht="15" x14ac:dyDescent="0.25">
      <c r="A36" s="59" t="s">
        <v>16</v>
      </c>
      <c r="B36" s="84">
        <v>53.45545378850958</v>
      </c>
      <c r="C36" s="84">
        <v>54.301499605367013</v>
      </c>
      <c r="D36" s="84">
        <v>56.553398058252426</v>
      </c>
      <c r="E36"/>
      <c r="F36"/>
      <c r="G36"/>
      <c r="H36"/>
      <c r="I36" s="120">
        <f t="shared" si="0"/>
        <v>2.2518984528854133</v>
      </c>
      <c r="J36" s="3"/>
      <c r="K36" s="3"/>
    </row>
    <row r="37" spans="1:11" ht="15" x14ac:dyDescent="0.25">
      <c r="A37" s="59" t="s">
        <v>17</v>
      </c>
      <c r="B37" s="84">
        <v>55.376421476896496</v>
      </c>
      <c r="C37" s="84">
        <v>55.372807017543856</v>
      </c>
      <c r="D37" s="84">
        <v>53.273888741016776</v>
      </c>
      <c r="E37"/>
      <c r="F37"/>
      <c r="G37"/>
      <c r="H37"/>
      <c r="I37" s="120">
        <f t="shared" si="0"/>
        <v>-2.0989182765270797</v>
      </c>
      <c r="J37" s="3"/>
      <c r="K37" s="3"/>
    </row>
    <row r="38" spans="1:11" ht="15" x14ac:dyDescent="0.25">
      <c r="A38" s="59" t="s">
        <v>18</v>
      </c>
      <c r="B38" s="84">
        <v>61.509433962264147</v>
      </c>
      <c r="C38" s="84">
        <v>63.316761363636367</v>
      </c>
      <c r="D38" s="84">
        <v>65.410593672236047</v>
      </c>
      <c r="E38"/>
      <c r="F38"/>
      <c r="G38"/>
      <c r="H38"/>
      <c r="I38" s="120">
        <f t="shared" si="0"/>
        <v>2.0938323085996799</v>
      </c>
      <c r="J38" s="3"/>
      <c r="K38" s="3"/>
    </row>
    <row r="39" spans="1:11" ht="15" x14ac:dyDescent="0.25">
      <c r="A39" s="59" t="s">
        <v>29</v>
      </c>
      <c r="B39" s="84">
        <v>61.986863711001639</v>
      </c>
      <c r="C39" s="84">
        <v>62.920426579163248</v>
      </c>
      <c r="D39" s="84">
        <v>61.766889383815879</v>
      </c>
      <c r="E39"/>
      <c r="F39"/>
      <c r="G39"/>
      <c r="H39"/>
      <c r="I39" s="120">
        <f t="shared" si="0"/>
        <v>-1.1535371953473685</v>
      </c>
      <c r="J39" s="3"/>
      <c r="K39" s="3"/>
    </row>
    <row r="40" spans="1:11" ht="15" x14ac:dyDescent="0.25">
      <c r="A40" s="59" t="s">
        <v>19</v>
      </c>
      <c r="B40" s="84">
        <v>62.688916876574311</v>
      </c>
      <c r="C40" s="84">
        <v>63.005153241117441</v>
      </c>
      <c r="D40" s="84">
        <v>58.796025715955579</v>
      </c>
      <c r="E40"/>
      <c r="F40"/>
      <c r="G40"/>
      <c r="H40"/>
      <c r="I40" s="120">
        <f t="shared" si="0"/>
        <v>-4.2091275251618612</v>
      </c>
      <c r="J40" s="3"/>
      <c r="K40" s="3"/>
    </row>
    <row r="41" spans="1:11" ht="15" x14ac:dyDescent="0.25">
      <c r="A41" s="59" t="s">
        <v>20</v>
      </c>
      <c r="B41" s="84">
        <v>53.246753246753244</v>
      </c>
      <c r="C41" s="84">
        <v>54.508196721311478</v>
      </c>
      <c r="D41" s="84">
        <v>52.247988641741607</v>
      </c>
      <c r="E41"/>
      <c r="F41"/>
      <c r="G41"/>
      <c r="H41"/>
      <c r="I41" s="120">
        <f t="shared" si="0"/>
        <v>-2.2602080795698711</v>
      </c>
      <c r="J41" s="3"/>
      <c r="K41" s="3"/>
    </row>
    <row r="42" spans="1:11" ht="15" x14ac:dyDescent="0.25">
      <c r="A42" s="59" t="s">
        <v>21</v>
      </c>
      <c r="B42" s="84">
        <v>63.981803585763984</v>
      </c>
      <c r="C42" s="84">
        <v>62.261753494282082</v>
      </c>
      <c r="D42" s="84">
        <v>66.684520621317617</v>
      </c>
      <c r="E42"/>
      <c r="F42"/>
      <c r="G42"/>
      <c r="H42"/>
      <c r="I42" s="120">
        <f t="shared" si="0"/>
        <v>4.4227671270355344</v>
      </c>
      <c r="J42" s="3"/>
      <c r="K42" s="3"/>
    </row>
    <row r="43" spans="1:11" ht="15" x14ac:dyDescent="0.25">
      <c r="A43" s="59" t="s">
        <v>22</v>
      </c>
      <c r="B43" s="84">
        <v>44.989051709617648</v>
      </c>
      <c r="C43" s="84">
        <v>46.526151444184229</v>
      </c>
      <c r="D43" s="84">
        <v>47.827667696782406</v>
      </c>
      <c r="E43"/>
      <c r="F43"/>
      <c r="G43"/>
      <c r="H43"/>
      <c r="I43" s="120">
        <f t="shared" si="0"/>
        <v>1.3015162525981765</v>
      </c>
      <c r="J43" s="3"/>
      <c r="K43" s="3"/>
    </row>
    <row r="44" spans="1:11" ht="15" x14ac:dyDescent="0.25">
      <c r="A44" s="59" t="s">
        <v>23</v>
      </c>
      <c r="B44" s="84">
        <v>61.993927125506076</v>
      </c>
      <c r="C44" s="84">
        <v>65.793041120650699</v>
      </c>
      <c r="D44" s="84">
        <v>66.266173752310536</v>
      </c>
      <c r="E44"/>
      <c r="F44"/>
      <c r="G44"/>
      <c r="H44"/>
      <c r="I44" s="120">
        <f t="shared" si="0"/>
        <v>0.47313263165983699</v>
      </c>
      <c r="J44" s="3"/>
      <c r="K44" s="3"/>
    </row>
    <row r="45" spans="1:11" ht="15" x14ac:dyDescent="0.25">
      <c r="A45" s="59" t="s">
        <v>24</v>
      </c>
      <c r="B45" s="84">
        <v>54.960491659350311</v>
      </c>
      <c r="C45" s="84">
        <v>54.25608873884736</v>
      </c>
      <c r="D45" s="84">
        <v>55.65312843029637</v>
      </c>
      <c r="E45"/>
      <c r="F45"/>
      <c r="G45"/>
      <c r="H45"/>
      <c r="I45" s="120">
        <f t="shared" si="0"/>
        <v>1.3970396914490095</v>
      </c>
      <c r="J45" s="3"/>
      <c r="K45" s="3"/>
    </row>
    <row r="46" spans="1:11" ht="15" x14ac:dyDescent="0.25">
      <c r="A46" s="59" t="s">
        <v>25</v>
      </c>
      <c r="B46" s="84">
        <v>63.661971830985919</v>
      </c>
      <c r="C46" s="84">
        <v>57.807807807807812</v>
      </c>
      <c r="D46" s="84">
        <v>56.185973207249809</v>
      </c>
      <c r="E46"/>
      <c r="F46"/>
      <c r="G46"/>
      <c r="H46"/>
      <c r="I46" s="120">
        <f t="shared" si="0"/>
        <v>-1.6218346005580031</v>
      </c>
      <c r="J46" s="3"/>
      <c r="K46" s="3"/>
    </row>
    <row r="47" spans="1:11" ht="15" x14ac:dyDescent="0.25">
      <c r="A47" s="59" t="s">
        <v>53</v>
      </c>
      <c r="B47" s="84">
        <v>63.453276047261006</v>
      </c>
      <c r="C47" s="84">
        <v>66.531932093775254</v>
      </c>
      <c r="D47" s="84">
        <v>66.993087557603687</v>
      </c>
      <c r="E47"/>
      <c r="F47"/>
      <c r="G47"/>
      <c r="H47"/>
      <c r="I47" s="120">
        <f t="shared" si="0"/>
        <v>0.4611554638284332</v>
      </c>
      <c r="J47" s="3"/>
      <c r="K47" s="3"/>
    </row>
    <row r="48" spans="1:11" ht="15" x14ac:dyDescent="0.25">
      <c r="A48" s="59" t="s">
        <v>26</v>
      </c>
      <c r="B48" s="84">
        <v>51.04966717869943</v>
      </c>
      <c r="C48" s="84">
        <v>57.728337236533953</v>
      </c>
      <c r="D48" s="84">
        <v>59.804454101032043</v>
      </c>
      <c r="E48"/>
      <c r="F48"/>
      <c r="G48"/>
      <c r="H48"/>
      <c r="I48" s="120">
        <f t="shared" si="0"/>
        <v>2.0761168644980899</v>
      </c>
      <c r="J48" s="3"/>
      <c r="K48" s="3"/>
    </row>
    <row r="49" spans="1:11" ht="15" x14ac:dyDescent="0.25">
      <c r="A49" s="59" t="s">
        <v>27</v>
      </c>
      <c r="B49" s="84">
        <v>42.1875</v>
      </c>
      <c r="C49" s="84">
        <v>41.720990873533246</v>
      </c>
      <c r="D49" s="84">
        <v>40.948813982521848</v>
      </c>
      <c r="E49"/>
      <c r="F49"/>
      <c r="G49"/>
      <c r="H49"/>
      <c r="I49" s="120">
        <f t="shared" si="0"/>
        <v>-0.77217689101139797</v>
      </c>
      <c r="J49" s="3"/>
      <c r="K49" s="3"/>
    </row>
    <row r="50" spans="1:11" ht="15" x14ac:dyDescent="0.25">
      <c r="A50" s="57" t="s">
        <v>50</v>
      </c>
      <c r="B50" s="89">
        <v>47.820856852040343</v>
      </c>
      <c r="C50" s="89">
        <v>46.11356252727537</v>
      </c>
      <c r="D50" s="89">
        <v>46.129127941467274</v>
      </c>
      <c r="E50"/>
      <c r="F50"/>
      <c r="G50"/>
      <c r="H50"/>
      <c r="I50" s="121">
        <f t="shared" si="0"/>
        <v>1.5565414191904381E-2</v>
      </c>
      <c r="J50" s="3"/>
      <c r="K50" s="3"/>
    </row>
    <row r="51" spans="1:11" ht="15" x14ac:dyDescent="0.25">
      <c r="A51" s="59" t="s">
        <v>32</v>
      </c>
      <c r="B51" s="84">
        <v>46.889113224589558</v>
      </c>
      <c r="C51" s="84">
        <v>44.763551193397277</v>
      </c>
      <c r="D51" s="84">
        <v>44.53230148048452</v>
      </c>
      <c r="E51"/>
      <c r="F51"/>
      <c r="G51"/>
      <c r="H51"/>
      <c r="I51" s="120">
        <f t="shared" si="0"/>
        <v>-0.23124971291275642</v>
      </c>
      <c r="J51" s="3"/>
      <c r="K51" s="3"/>
    </row>
    <row r="52" spans="1:11" ht="15" x14ac:dyDescent="0.25">
      <c r="A52" s="59" t="s">
        <v>28</v>
      </c>
      <c r="B52" s="84">
        <v>54.099534550662362</v>
      </c>
      <c r="C52" s="84">
        <v>55.10962467484206</v>
      </c>
      <c r="D52" s="84">
        <v>58.013355592654428</v>
      </c>
      <c r="E52"/>
      <c r="F52"/>
      <c r="G52"/>
      <c r="H52"/>
      <c r="I52" s="120">
        <f>D52-C52</f>
        <v>2.9037309178123678</v>
      </c>
      <c r="J52" s="3"/>
      <c r="K52" s="3"/>
    </row>
    <row r="53" spans="1:11" ht="15" hidden="1" x14ac:dyDescent="0.25">
      <c r="A53" s="59" t="s">
        <v>39</v>
      </c>
      <c r="B53" s="84">
        <v>0</v>
      </c>
      <c r="C53" s="84">
        <v>0</v>
      </c>
      <c r="D53" s="84">
        <v>0</v>
      </c>
      <c r="E53"/>
      <c r="F53"/>
      <c r="G53"/>
      <c r="H53"/>
      <c r="I53" s="83">
        <f t="shared" si="0"/>
        <v>0</v>
      </c>
    </row>
    <row r="54" spans="1:11" ht="15" hidden="1" x14ac:dyDescent="0.25">
      <c r="A54" s="57" t="s">
        <v>134</v>
      </c>
      <c r="B54" s="84">
        <v>0</v>
      </c>
      <c r="C54" s="84">
        <v>0</v>
      </c>
      <c r="D54" s="84">
        <v>0</v>
      </c>
      <c r="E54"/>
      <c r="F54"/>
      <c r="G54"/>
      <c r="H54"/>
      <c r="I54" s="93">
        <f t="shared" si="0"/>
        <v>0</v>
      </c>
    </row>
    <row r="55" spans="1:11" ht="15" hidden="1" x14ac:dyDescent="0.25">
      <c r="A55" s="59" t="s">
        <v>40</v>
      </c>
      <c r="B55" s="84">
        <v>0</v>
      </c>
      <c r="C55" s="84">
        <v>0</v>
      </c>
      <c r="D55" s="84">
        <v>0</v>
      </c>
      <c r="E55"/>
      <c r="F55"/>
      <c r="G55"/>
      <c r="H55"/>
      <c r="I55" s="84">
        <f t="shared" si="0"/>
        <v>0</v>
      </c>
    </row>
    <row r="56" spans="1:11" ht="15" hidden="1" x14ac:dyDescent="0.25">
      <c r="A56" s="57" t="s">
        <v>37</v>
      </c>
      <c r="B56" s="84">
        <v>54.005089867981546</v>
      </c>
      <c r="C56" s="84">
        <v>54.439697246091569</v>
      </c>
      <c r="D56" s="84">
        <v>54.238551133142174</v>
      </c>
      <c r="E56"/>
      <c r="F56"/>
      <c r="G56"/>
      <c r="H56"/>
      <c r="I56" s="84">
        <f t="shared" si="0"/>
        <v>-0.20114611294939522</v>
      </c>
    </row>
    <row r="57" spans="1:11" ht="4.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11" ht="20.25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A6" sqref="A6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188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6">
        <f>$B$56</f>
        <v>89.205669382792223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6">
        <f>$C$56</f>
        <v>88.165320830077277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6">
        <f>$D$56</f>
        <v>88.867786705624539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6">
        <f>$E$56</f>
        <v>88.360747601938229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6">
        <f>$F$56</f>
        <v>87.228016175772353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6">
        <f>$G$56</f>
        <v>85.722144428885784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6">
        <f>$H$56</f>
        <v>84.02268009922544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-1.6994643296603442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189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92.104195580228463</v>
      </c>
      <c r="C19" s="84">
        <v>91.742069895218449</v>
      </c>
      <c r="D19" s="84">
        <v>92.883030672974215</v>
      </c>
      <c r="E19" s="84">
        <v>91.876777801428048</v>
      </c>
      <c r="F19" s="84">
        <v>90.927862392968095</v>
      </c>
      <c r="G19" s="84">
        <v>88.616320714753343</v>
      </c>
      <c r="H19" s="84">
        <v>86.969667222931193</v>
      </c>
      <c r="I19" s="119">
        <f>H19-G19</f>
        <v>-1.6466534918221498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96.292372881355931</v>
      </c>
      <c r="C20" s="84">
        <v>88.058151609553477</v>
      </c>
      <c r="D20" s="84">
        <v>89.126394052044617</v>
      </c>
      <c r="E20" s="84">
        <v>92.38493723849372</v>
      </c>
      <c r="F20" s="84">
        <v>91.200733272227325</v>
      </c>
      <c r="G20" s="84">
        <v>91.087169441723802</v>
      </c>
      <c r="H20" s="84">
        <v>89.112227805695142</v>
      </c>
      <c r="I20" s="120">
        <f t="shared" ref="I20:I56" si="0">H20-G20</f>
        <v>-1.9749416360286602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96.55647382920111</v>
      </c>
      <c r="C21" s="84">
        <v>96.985583224115331</v>
      </c>
      <c r="D21" s="84">
        <v>88.814993954050777</v>
      </c>
      <c r="E21" s="84">
        <v>94.297082228116707</v>
      </c>
      <c r="F21" s="84">
        <v>89.993416721527325</v>
      </c>
      <c r="G21" s="84">
        <v>91.839762611275972</v>
      </c>
      <c r="H21" s="84">
        <v>83.847980997624703</v>
      </c>
      <c r="I21" s="120">
        <f t="shared" si="0"/>
        <v>-7.9917816136512698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93.35180055401662</v>
      </c>
      <c r="C22" s="84">
        <v>93.80952380952381</v>
      </c>
      <c r="D22" s="84">
        <v>99.180327868852459</v>
      </c>
      <c r="E22" s="84">
        <v>93.051359516616316</v>
      </c>
      <c r="F22" s="84">
        <v>96.037296037296045</v>
      </c>
      <c r="G22" s="84">
        <v>92.747252747252745</v>
      </c>
      <c r="H22" s="84">
        <v>97.443181818181827</v>
      </c>
      <c r="I22" s="120">
        <f t="shared" si="0"/>
        <v>4.6959290709290826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95.522388059701484</v>
      </c>
      <c r="C23" s="84">
        <v>97.080291970802918</v>
      </c>
      <c r="D23" s="84">
        <v>97.406340057636882</v>
      </c>
      <c r="E23" s="84">
        <v>90.965732087227408</v>
      </c>
      <c r="F23" s="84">
        <v>86.376021798365116</v>
      </c>
      <c r="G23" s="84">
        <v>85.7566765578635</v>
      </c>
      <c r="H23" s="84">
        <v>95.114942528735639</v>
      </c>
      <c r="I23" s="120">
        <f t="shared" si="0"/>
        <v>9.3582659708721394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95.040650406504071</v>
      </c>
      <c r="C24" s="84">
        <v>92.873563218390814</v>
      </c>
      <c r="D24" s="84">
        <v>90.350877192982466</v>
      </c>
      <c r="E24" s="84">
        <v>93.866374589266158</v>
      </c>
      <c r="F24" s="84">
        <v>90.208078335373315</v>
      </c>
      <c r="G24" s="84">
        <v>85.622065727699521</v>
      </c>
      <c r="H24" s="84">
        <v>87.297783103654879</v>
      </c>
      <c r="I24" s="120">
        <f t="shared" si="0"/>
        <v>1.6757173759553581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96.002460024600239</v>
      </c>
      <c r="C25" s="84">
        <v>96.731154102735161</v>
      </c>
      <c r="D25" s="84">
        <v>95.778045838359475</v>
      </c>
      <c r="E25" s="84">
        <v>96.709006928406467</v>
      </c>
      <c r="F25" s="84">
        <v>91.967871485943775</v>
      </c>
      <c r="G25" s="84">
        <v>91.043985161632222</v>
      </c>
      <c r="H25" s="84">
        <v>88.629903354178509</v>
      </c>
      <c r="I25" s="120">
        <f t="shared" si="0"/>
        <v>-2.4140818074537123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99.513085818624475</v>
      </c>
      <c r="C26" s="84">
        <v>99.937264742785445</v>
      </c>
      <c r="D26" s="84">
        <v>98.641765704584046</v>
      </c>
      <c r="E26" s="84">
        <v>97.554347826086953</v>
      </c>
      <c r="F26" s="84">
        <v>96.88221709006929</v>
      </c>
      <c r="G26" s="84">
        <v>98.194525334886436</v>
      </c>
      <c r="H26" s="84">
        <v>99.706170421155733</v>
      </c>
      <c r="I26" s="120">
        <f t="shared" si="0"/>
        <v>1.5116450862692972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88.28451882845188</v>
      </c>
      <c r="C27" s="84">
        <v>94.314381270903013</v>
      </c>
      <c r="D27" s="84">
        <v>93.247588424437296</v>
      </c>
      <c r="E27" s="84">
        <v>97.832817337461293</v>
      </c>
      <c r="F27" s="84">
        <v>92.971246006389777</v>
      </c>
      <c r="G27" s="84">
        <v>89.930555555555557</v>
      </c>
      <c r="H27" s="84">
        <v>89.508196721311478</v>
      </c>
      <c r="I27" s="120">
        <f t="shared" si="0"/>
        <v>-0.42235883424407916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83.574879227053145</v>
      </c>
      <c r="C28" s="84">
        <v>78.40616966580977</v>
      </c>
      <c r="D28" s="84">
        <v>73.711340206185568</v>
      </c>
      <c r="E28" s="84">
        <v>70.685579196217503</v>
      </c>
      <c r="F28" s="84">
        <v>75.402298850574709</v>
      </c>
      <c r="G28" s="84">
        <v>68.238213399503721</v>
      </c>
      <c r="H28" s="84">
        <v>71.105527638190964</v>
      </c>
      <c r="I28" s="120">
        <f t="shared" si="0"/>
        <v>2.8673142386872428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94.805194805194802</v>
      </c>
      <c r="C29" s="84">
        <v>93.37298215802889</v>
      </c>
      <c r="D29" s="84">
        <v>97.718726497869142</v>
      </c>
      <c r="E29" s="84">
        <v>97.418688693856481</v>
      </c>
      <c r="F29" s="84">
        <v>97.176357980378086</v>
      </c>
      <c r="G29" s="84">
        <v>94.39173518869913</v>
      </c>
      <c r="H29" s="84">
        <v>95.354583642204105</v>
      </c>
      <c r="I29" s="120">
        <f t="shared" si="0"/>
        <v>0.96284845350497505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83.200908059023831</v>
      </c>
      <c r="C30" s="84">
        <v>77.389984825493173</v>
      </c>
      <c r="D30" s="84">
        <v>75.179621162638796</v>
      </c>
      <c r="E30" s="84">
        <v>73.414304993252372</v>
      </c>
      <c r="F30" s="84">
        <v>63.692518874399454</v>
      </c>
      <c r="G30" s="84">
        <v>55.759354365370505</v>
      </c>
      <c r="H30" s="84">
        <v>64.243759177679877</v>
      </c>
      <c r="I30" s="120">
        <f t="shared" si="0"/>
        <v>8.4844048123093714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99.2</v>
      </c>
      <c r="C31" s="84">
        <v>99.443671766342149</v>
      </c>
      <c r="D31" s="84">
        <v>100</v>
      </c>
      <c r="E31" s="84">
        <v>98.806366047745357</v>
      </c>
      <c r="F31" s="84">
        <v>98.98697539797395</v>
      </c>
      <c r="G31" s="84">
        <v>99.014084507042256</v>
      </c>
      <c r="H31" s="84">
        <v>99.134199134199136</v>
      </c>
      <c r="I31" s="120">
        <f t="shared" si="0"/>
        <v>0.12011462715688026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97.11815561959655</v>
      </c>
      <c r="C32" s="84">
        <v>96.597482136781224</v>
      </c>
      <c r="D32" s="84">
        <v>95.926876202694032</v>
      </c>
      <c r="E32" s="84">
        <v>93.273253942710014</v>
      </c>
      <c r="F32" s="84">
        <v>91.691009412528402</v>
      </c>
      <c r="G32" s="84">
        <v>77.226328757479763</v>
      </c>
      <c r="H32" s="84">
        <v>85.334750265674813</v>
      </c>
      <c r="I32" s="120">
        <f t="shared" si="0"/>
        <v>8.1084215081950504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79.675550405561992</v>
      </c>
      <c r="C33" s="84">
        <v>80.138644366197184</v>
      </c>
      <c r="D33" s="84">
        <v>87.324411016480468</v>
      </c>
      <c r="E33" s="84">
        <v>85.878037597432368</v>
      </c>
      <c r="F33" s="84">
        <v>84.428368121442119</v>
      </c>
      <c r="G33" s="84">
        <v>82.005611809198484</v>
      </c>
      <c r="H33" s="84">
        <v>78.615239443264912</v>
      </c>
      <c r="I33" s="120">
        <f t="shared" si="0"/>
        <v>-3.3903723659335725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92.708333333333343</v>
      </c>
      <c r="C34" s="84">
        <v>91.159737417943106</v>
      </c>
      <c r="D34" s="84">
        <v>89.663366336633672</v>
      </c>
      <c r="E34" s="84">
        <v>87.916310845431255</v>
      </c>
      <c r="F34" s="84">
        <v>88.920225624496368</v>
      </c>
      <c r="G34" s="84">
        <v>89.73288814691152</v>
      </c>
      <c r="H34" s="84">
        <v>86.639175257731964</v>
      </c>
      <c r="I34" s="120">
        <f t="shared" si="0"/>
        <v>-3.0937128891795567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84.095634095634097</v>
      </c>
      <c r="C35" s="84">
        <v>91.879131255901797</v>
      </c>
      <c r="D35" s="84">
        <v>92.337461300309599</v>
      </c>
      <c r="E35" s="84">
        <v>90.080428954423596</v>
      </c>
      <c r="F35" s="84">
        <v>91.150442477876098</v>
      </c>
      <c r="G35" s="84">
        <v>92.019230769230759</v>
      </c>
      <c r="H35" s="84">
        <v>90.892193308550191</v>
      </c>
      <c r="I35" s="120">
        <f t="shared" si="0"/>
        <v>-1.1270374606805689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96.825396825396822</v>
      </c>
      <c r="C36" s="84">
        <v>97.832369942196522</v>
      </c>
      <c r="D36" s="84">
        <v>98.928024502297092</v>
      </c>
      <c r="E36" s="84">
        <v>98.637137989778537</v>
      </c>
      <c r="F36" s="84">
        <v>96.774193548387103</v>
      </c>
      <c r="G36" s="84">
        <v>91.70579029733959</v>
      </c>
      <c r="H36" s="84">
        <v>71.598639455782305</v>
      </c>
      <c r="I36" s="120">
        <f t="shared" si="0"/>
        <v>-20.107150841557285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96.865889212827994</v>
      </c>
      <c r="C37" s="84">
        <v>96.67644183773217</v>
      </c>
      <c r="D37" s="84">
        <v>97.968115035948728</v>
      </c>
      <c r="E37" s="84">
        <v>97.671777399204998</v>
      </c>
      <c r="F37" s="84">
        <v>97.840400316038981</v>
      </c>
      <c r="G37" s="84">
        <v>96.389793702497286</v>
      </c>
      <c r="H37" s="84">
        <v>96.172772006560962</v>
      </c>
      <c r="I37" s="120">
        <f t="shared" si="0"/>
        <v>-0.21702169593632448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96.34760705289672</v>
      </c>
      <c r="C38" s="84">
        <v>95.373226403454652</v>
      </c>
      <c r="D38" s="84">
        <v>96.193181818181813</v>
      </c>
      <c r="E38" s="84">
        <v>95.735981308411212</v>
      </c>
      <c r="F38" s="84">
        <v>93.258426966292134</v>
      </c>
      <c r="G38" s="84">
        <v>92.92088042831648</v>
      </c>
      <c r="H38" s="84">
        <v>89.69442780107849</v>
      </c>
      <c r="I38" s="120">
        <f t="shared" si="0"/>
        <v>-3.2264526272379896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92.87833827893175</v>
      </c>
      <c r="C39" s="84">
        <v>87.128712871287135</v>
      </c>
      <c r="D39" s="84">
        <v>87.482219061166433</v>
      </c>
      <c r="E39" s="84">
        <v>90.22346368715084</v>
      </c>
      <c r="F39" s="84">
        <v>93.706293706293707</v>
      </c>
      <c r="G39" s="84">
        <v>95.888594164456237</v>
      </c>
      <c r="H39" s="84">
        <v>95.930949445129471</v>
      </c>
      <c r="I39" s="120">
        <f t="shared" si="0"/>
        <v>4.2355280673234574E-2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94.167206740116654</v>
      </c>
      <c r="C40" s="84">
        <v>97.066392177045799</v>
      </c>
      <c r="D40" s="84">
        <v>96.501614639397204</v>
      </c>
      <c r="E40" s="84">
        <v>94.085729788388491</v>
      </c>
      <c r="F40" s="84">
        <v>94.361602982292638</v>
      </c>
      <c r="G40" s="84">
        <v>92.732240437158481</v>
      </c>
      <c r="H40" s="84">
        <v>89.484126984126988</v>
      </c>
      <c r="I40" s="120">
        <f t="shared" si="0"/>
        <v>-3.2481134530314932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93.650793650793645</v>
      </c>
      <c r="C41" s="84">
        <v>93.165089379600417</v>
      </c>
      <c r="D41" s="84">
        <v>96.269335759781612</v>
      </c>
      <c r="E41" s="84">
        <v>94.04651162790698</v>
      </c>
      <c r="F41" s="84">
        <v>94.366197183098592</v>
      </c>
      <c r="G41" s="84">
        <v>93.979591836734699</v>
      </c>
      <c r="H41" s="84">
        <v>92.21435793731041</v>
      </c>
      <c r="I41" s="120">
        <f t="shared" si="0"/>
        <v>-1.7652338994242882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99.756927564414198</v>
      </c>
      <c r="C42" s="84">
        <v>99.52153110047847</v>
      </c>
      <c r="D42" s="84">
        <v>98.787878787878796</v>
      </c>
      <c r="E42" s="84">
        <v>98.590268303774437</v>
      </c>
      <c r="F42" s="84">
        <v>98.103220114689009</v>
      </c>
      <c r="G42" s="84">
        <v>96.102783725910072</v>
      </c>
      <c r="H42" s="84">
        <v>97.52731454859115</v>
      </c>
      <c r="I42" s="120">
        <f t="shared" si="0"/>
        <v>1.4245308226810778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89.443651925820262</v>
      </c>
      <c r="C43" s="84">
        <v>89.816124469589823</v>
      </c>
      <c r="D43" s="84">
        <v>91.277013752455787</v>
      </c>
      <c r="E43" s="84">
        <v>84.723951847239519</v>
      </c>
      <c r="F43" s="84">
        <v>84.741017265515623</v>
      </c>
      <c r="G43" s="84">
        <v>82.306079664570234</v>
      </c>
      <c r="H43" s="84">
        <v>69.63053187170118</v>
      </c>
      <c r="I43" s="120">
        <f t="shared" si="0"/>
        <v>-12.675547792869054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97.563098346388159</v>
      </c>
      <c r="C44" s="84">
        <v>99.351851851851848</v>
      </c>
      <c r="D44" s="84">
        <v>96.836555360281196</v>
      </c>
      <c r="E44" s="84">
        <v>97.504621072088725</v>
      </c>
      <c r="F44" s="84">
        <v>96.133434420015163</v>
      </c>
      <c r="G44" s="84">
        <v>94.705443698732296</v>
      </c>
      <c r="H44" s="84">
        <v>91.711435149654648</v>
      </c>
      <c r="I44" s="120">
        <f t="shared" si="0"/>
        <v>-2.9940085490776482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98.168288494562105</v>
      </c>
      <c r="C45" s="84">
        <v>96.532746285085295</v>
      </c>
      <c r="D45" s="84">
        <v>95.155502392344488</v>
      </c>
      <c r="E45" s="84">
        <v>89.236111111111114</v>
      </c>
      <c r="F45" s="84">
        <v>89.941690962099131</v>
      </c>
      <c r="G45" s="84">
        <v>92.72629310344827</v>
      </c>
      <c r="H45" s="84">
        <v>85.879873551106428</v>
      </c>
      <c r="I45" s="120">
        <f t="shared" si="0"/>
        <v>-6.8464195523418425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99.301919720767884</v>
      </c>
      <c r="C46" s="84">
        <v>96.147110332749563</v>
      </c>
      <c r="D46" s="84">
        <v>98.407643312101911</v>
      </c>
      <c r="E46" s="84">
        <v>96.763754045307451</v>
      </c>
      <c r="F46" s="84">
        <v>99.694656488549612</v>
      </c>
      <c r="G46" s="84">
        <v>98.675496688741731</v>
      </c>
      <c r="H46" s="84">
        <v>97.15302491103202</v>
      </c>
      <c r="I46" s="120">
        <f t="shared" si="0"/>
        <v>-1.5224717777097112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95.03668536901165</v>
      </c>
      <c r="C47" s="84">
        <v>95.206766917293223</v>
      </c>
      <c r="D47" s="84">
        <v>95.819477434679328</v>
      </c>
      <c r="E47" s="84">
        <v>95.14338575393154</v>
      </c>
      <c r="F47" s="84">
        <v>94.011448701012768</v>
      </c>
      <c r="G47" s="84">
        <v>88.118811881188122</v>
      </c>
      <c r="H47" s="84">
        <v>89.224526600541026</v>
      </c>
      <c r="I47" s="120">
        <f t="shared" si="0"/>
        <v>1.1057147193529033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88.404133180252586</v>
      </c>
      <c r="C48" s="84">
        <v>94.186046511627907</v>
      </c>
      <c r="D48" s="84">
        <v>87.074148296593194</v>
      </c>
      <c r="E48" s="84">
        <v>83.745583038869256</v>
      </c>
      <c r="F48" s="84">
        <v>82.202447163515018</v>
      </c>
      <c r="G48" s="84">
        <v>80.651731160896134</v>
      </c>
      <c r="H48" s="84">
        <v>79.534432589718719</v>
      </c>
      <c r="I48" s="120">
        <f t="shared" si="0"/>
        <v>-1.1172985711774146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93.925233644859816</v>
      </c>
      <c r="C49" s="84">
        <v>93.75</v>
      </c>
      <c r="D49" s="84">
        <v>98.606271777003485</v>
      </c>
      <c r="E49" s="84">
        <v>98.188405797101453</v>
      </c>
      <c r="F49" s="84">
        <v>95.880149812734089</v>
      </c>
      <c r="G49" s="84">
        <v>98.630136986301366</v>
      </c>
      <c r="H49" s="84">
        <v>99.615384615384613</v>
      </c>
      <c r="I49" s="120">
        <f t="shared" si="0"/>
        <v>0.98524762908324703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72.786647314949207</v>
      </c>
      <c r="C50" s="89">
        <v>67.864595409227917</v>
      </c>
      <c r="D50" s="89">
        <v>65.94052935410086</v>
      </c>
      <c r="E50" s="89">
        <v>68.160088938299054</v>
      </c>
      <c r="F50" s="89">
        <v>63.671450970932341</v>
      </c>
      <c r="G50" s="89">
        <v>67.059846039235154</v>
      </c>
      <c r="H50" s="89">
        <v>65.98990869774147</v>
      </c>
      <c r="I50" s="121">
        <f t="shared" si="0"/>
        <v>-1.0699373414936844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70.726161716640618</v>
      </c>
      <c r="C51" s="84">
        <v>66.403532245116409</v>
      </c>
      <c r="D51" s="84">
        <v>64.141730311756604</v>
      </c>
      <c r="E51" s="84">
        <v>68.725413060582213</v>
      </c>
      <c r="F51" s="84">
        <v>64.344086021505376</v>
      </c>
      <c r="G51" s="84">
        <v>65.87359509560649</v>
      </c>
      <c r="H51" s="84">
        <v>65.369649805447466</v>
      </c>
      <c r="I51" s="120">
        <f t="shared" si="0"/>
        <v>-0.50394529015902378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84.565393988627136</v>
      </c>
      <c r="C52" s="84">
        <v>77.34375</v>
      </c>
      <c r="D52" s="84">
        <v>77.973199329983245</v>
      </c>
      <c r="E52" s="84">
        <v>65.01095690284879</v>
      </c>
      <c r="F52" s="84">
        <v>60.106382978723403</v>
      </c>
      <c r="G52" s="84">
        <v>73.815461346633413</v>
      </c>
      <c r="H52" s="84">
        <v>69.946808510638306</v>
      </c>
      <c r="I52" s="120">
        <f t="shared" si="0"/>
        <v>-3.8686528359951069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5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5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5" hidden="1" x14ac:dyDescent="0.25">
      <c r="A56" s="57" t="s">
        <v>37</v>
      </c>
      <c r="B56" s="84">
        <v>89.205669382792223</v>
      </c>
      <c r="C56" s="84">
        <v>88.165320830077277</v>
      </c>
      <c r="D56" s="84">
        <v>88.867786705624539</v>
      </c>
      <c r="E56" s="84">
        <v>88.360747601938229</v>
      </c>
      <c r="F56" s="84">
        <v>87.228016175772353</v>
      </c>
      <c r="G56" s="84">
        <v>85.722144428885784</v>
      </c>
      <c r="H56" s="84">
        <v>84.02268009922544</v>
      </c>
      <c r="I56" s="84">
        <f t="shared" si="0"/>
        <v>-1.6994643296603442</v>
      </c>
    </row>
    <row r="57" spans="1:15" ht="6" customHeight="1" x14ac:dyDescent="0.25">
      <c r="A57" s="4"/>
      <c r="B57" s="4"/>
      <c r="C57" s="4"/>
      <c r="D57" s="4"/>
      <c r="E57" s="4"/>
      <c r="F57" s="4"/>
      <c r="G57" s="4"/>
      <c r="H57" s="4"/>
    </row>
    <row r="58" spans="1:15" ht="24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F32" sqref="F32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190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0">
        <f>$B$56</f>
        <v>13384.843266333244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0">
        <f>$C$56</f>
        <v>14177.484265094292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0">
        <f>$D$56</f>
        <v>14605.713034552999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0">
        <f>$E$56</f>
        <v>14927.329292023918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0">
        <f>$F$56</f>
        <v>16284.499202522724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0">
        <f>$G$56</f>
        <v>16537.446855485287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0">
        <f>$H$56</f>
        <v>17596.600771310892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110">
        <f>B14-B13</f>
        <v>1059.1539158256055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191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58">
        <v>13384.843266333244</v>
      </c>
      <c r="C19" s="58">
        <v>14177.484265094292</v>
      </c>
      <c r="D19" s="58">
        <v>14605.713034552999</v>
      </c>
      <c r="E19" s="58">
        <v>14927.329292023918</v>
      </c>
      <c r="F19" s="58">
        <v>16111.098266760044</v>
      </c>
      <c r="G19" s="58">
        <v>16290.905945280678</v>
      </c>
      <c r="H19" s="58">
        <v>17564.674568993294</v>
      </c>
      <c r="I19" s="111">
        <f>H19-G19</f>
        <v>1273.7686237126163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58">
        <v>10039.731132075472</v>
      </c>
      <c r="C20" s="58">
        <v>11232.882726502963</v>
      </c>
      <c r="D20" s="58">
        <v>11552.262441514249</v>
      </c>
      <c r="E20" s="58">
        <v>12006.169168096056</v>
      </c>
      <c r="F20" s="58">
        <v>13231.078359982714</v>
      </c>
      <c r="G20" s="58">
        <v>13500.696042471043</v>
      </c>
      <c r="H20" s="58">
        <v>15053.664376465573</v>
      </c>
      <c r="I20" s="60">
        <f t="shared" ref="I20:I56" si="0">H20-G20</f>
        <v>1552.9683339945295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58">
        <v>12837.958771510515</v>
      </c>
      <c r="C21" s="58">
        <v>14358.399848542218</v>
      </c>
      <c r="D21" s="58">
        <v>14444.308283730159</v>
      </c>
      <c r="E21" s="58">
        <v>14527.286458333334</v>
      </c>
      <c r="F21" s="58">
        <v>16175.008957972806</v>
      </c>
      <c r="G21" s="58">
        <v>16299.309844829679</v>
      </c>
      <c r="H21" s="58">
        <v>16348.639330536515</v>
      </c>
      <c r="I21" s="60">
        <f t="shared" si="0"/>
        <v>49.32948570683584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58">
        <v>14129.157202944269</v>
      </c>
      <c r="C22" s="58">
        <v>13840.304664723031</v>
      </c>
      <c r="D22" s="58">
        <v>14869.799694189602</v>
      </c>
      <c r="E22" s="58">
        <v>16027.258666666667</v>
      </c>
      <c r="F22" s="58">
        <v>17489.732220447284</v>
      </c>
      <c r="G22" s="58">
        <v>20274.953581730773</v>
      </c>
      <c r="H22" s="58">
        <v>20455.653680023574</v>
      </c>
      <c r="I22" s="60">
        <f t="shared" si="0"/>
        <v>180.70009829280025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58">
        <v>17547.081008583689</v>
      </c>
      <c r="C23" s="58">
        <v>17670.021243523315</v>
      </c>
      <c r="D23" s="58">
        <v>18210.605318039623</v>
      </c>
      <c r="E23" s="58">
        <v>19025.6164021164</v>
      </c>
      <c r="F23" s="58">
        <v>21400.634103542234</v>
      </c>
      <c r="G23" s="58">
        <v>22320.544737423992</v>
      </c>
      <c r="H23" s="58">
        <v>21896.02678006329</v>
      </c>
      <c r="I23" s="60">
        <f t="shared" si="0"/>
        <v>-424.51795736070198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58">
        <v>15837.161966364813</v>
      </c>
      <c r="C24" s="58">
        <v>16707.21020717534</v>
      </c>
      <c r="D24" s="58">
        <v>17856.365031080546</v>
      </c>
      <c r="E24" s="58">
        <v>18740.660252960173</v>
      </c>
      <c r="F24" s="58">
        <v>19988.450477955779</v>
      </c>
      <c r="G24" s="58">
        <v>20911.998767548597</v>
      </c>
      <c r="H24" s="58">
        <v>25476.089854535083</v>
      </c>
      <c r="I24" s="60">
        <f t="shared" si="0"/>
        <v>4564.0910869864856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58">
        <v>12798.454208864205</v>
      </c>
      <c r="C25" s="58">
        <v>13926.000551146384</v>
      </c>
      <c r="D25" s="58">
        <v>13285.266961348685</v>
      </c>
      <c r="E25" s="58">
        <v>13722.867483525535</v>
      </c>
      <c r="F25" s="58">
        <v>15999.665762506873</v>
      </c>
      <c r="G25" s="58">
        <v>16258.018097359554</v>
      </c>
      <c r="H25" s="58">
        <v>19840.824095415839</v>
      </c>
      <c r="I25" s="60">
        <f t="shared" si="0"/>
        <v>3582.8059980562848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58">
        <v>14479.852310742162</v>
      </c>
      <c r="C26" s="58">
        <v>15723.793815739449</v>
      </c>
      <c r="D26" s="58">
        <v>16034.30879009851</v>
      </c>
      <c r="E26" s="58">
        <v>14650.097601972209</v>
      </c>
      <c r="F26" s="58">
        <v>15213.270499038257</v>
      </c>
      <c r="G26" s="58">
        <v>14528.158460162926</v>
      </c>
      <c r="H26" s="58">
        <v>14475.43836362762</v>
      </c>
      <c r="I26" s="60">
        <f t="shared" si="0"/>
        <v>-52.720096535305856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58">
        <v>17897.8991416309</v>
      </c>
      <c r="C27" s="58">
        <v>18286.479022835902</v>
      </c>
      <c r="D27" s="58">
        <v>18503.326337880379</v>
      </c>
      <c r="E27" s="58">
        <v>19072.897058823528</v>
      </c>
      <c r="F27" s="58">
        <v>19989.330609264856</v>
      </c>
      <c r="G27" s="58">
        <v>21890.760691318326</v>
      </c>
      <c r="H27" s="58">
        <v>22200.208437334742</v>
      </c>
      <c r="I27" s="60">
        <f t="shared" si="0"/>
        <v>309.4477460164162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58">
        <v>13392.521374685666</v>
      </c>
      <c r="C28" s="58">
        <v>13941.326564442603</v>
      </c>
      <c r="D28" s="58">
        <v>13889.255336286749</v>
      </c>
      <c r="E28" s="58">
        <v>15176.452951240377</v>
      </c>
      <c r="F28" s="58">
        <v>18138.120406162463</v>
      </c>
      <c r="G28" s="58">
        <v>19345.936240928884</v>
      </c>
      <c r="H28" s="58">
        <v>21306.329761658031</v>
      </c>
      <c r="I28" s="60">
        <f t="shared" si="0"/>
        <v>1960.393520729147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58">
        <v>11236.360611348457</v>
      </c>
      <c r="C29" s="58">
        <v>11066.842669584245</v>
      </c>
      <c r="D29" s="58">
        <v>11656.97197315739</v>
      </c>
      <c r="E29" s="58">
        <v>12198.338650657519</v>
      </c>
      <c r="F29" s="58">
        <v>13467.510005791728</v>
      </c>
      <c r="G29" s="58">
        <v>13234.630141141306</v>
      </c>
      <c r="H29" s="58">
        <v>14469.986588076328</v>
      </c>
      <c r="I29" s="60">
        <f t="shared" si="0"/>
        <v>1235.3564469350222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58">
        <v>14400.303817227188</v>
      </c>
      <c r="C30" s="58">
        <v>15784.680960548885</v>
      </c>
      <c r="D30" s="58">
        <v>16738.355034850956</v>
      </c>
      <c r="E30" s="58">
        <v>17596.331972171807</v>
      </c>
      <c r="F30" s="58">
        <v>20114.689085850554</v>
      </c>
      <c r="G30" s="58">
        <v>21129.148802015607</v>
      </c>
      <c r="H30" s="58">
        <v>23620.751222693187</v>
      </c>
      <c r="I30" s="60">
        <f t="shared" si="0"/>
        <v>2491.6024206775801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58">
        <v>13513.126016260163</v>
      </c>
      <c r="C31" s="58">
        <v>13493.006371049949</v>
      </c>
      <c r="D31" s="58">
        <v>15498.987135506004</v>
      </c>
      <c r="E31" s="58">
        <v>15024.963641260436</v>
      </c>
      <c r="F31" s="58">
        <v>16366.160920592194</v>
      </c>
      <c r="G31" s="58">
        <v>17112.856787280703</v>
      </c>
      <c r="H31" s="58">
        <v>18266.992961068485</v>
      </c>
      <c r="I31" s="60">
        <f t="shared" si="0"/>
        <v>1154.1361737877814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58">
        <v>13047.14804958785</v>
      </c>
      <c r="C32" s="58">
        <v>14600.222577354642</v>
      </c>
      <c r="D32" s="58">
        <v>14792.414668642241</v>
      </c>
      <c r="E32" s="58">
        <v>15487.988709456686</v>
      </c>
      <c r="F32" s="58">
        <v>16775.075941408373</v>
      </c>
      <c r="G32" s="58">
        <v>17070.99557014001</v>
      </c>
      <c r="H32" s="58">
        <v>18500.742999790811</v>
      </c>
      <c r="I32" s="60">
        <f t="shared" si="0"/>
        <v>1429.7474296508008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58">
        <v>12289.260136466391</v>
      </c>
      <c r="C33" s="58">
        <v>13136.727782107724</v>
      </c>
      <c r="D33" s="58">
        <v>13682.725517064189</v>
      </c>
      <c r="E33" s="58">
        <v>13825.254109387481</v>
      </c>
      <c r="F33" s="58">
        <v>14903.912567013298</v>
      </c>
      <c r="G33" s="58">
        <v>15227.035839147165</v>
      </c>
      <c r="H33" s="58">
        <v>15875.003503734924</v>
      </c>
      <c r="I33" s="60">
        <f t="shared" si="0"/>
        <v>647.96766458775892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58">
        <v>13277.918083462133</v>
      </c>
      <c r="C34" s="58">
        <v>14488.415685610231</v>
      </c>
      <c r="D34" s="58">
        <v>14974.520421268944</v>
      </c>
      <c r="E34" s="58">
        <v>16134.758719370417</v>
      </c>
      <c r="F34" s="58">
        <v>17592.709789021992</v>
      </c>
      <c r="G34" s="58">
        <v>18099.908305160538</v>
      </c>
      <c r="H34" s="58">
        <v>18728.121467484441</v>
      </c>
      <c r="I34" s="60">
        <f t="shared" si="0"/>
        <v>628.21316232390382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58">
        <v>11177.936552274541</v>
      </c>
      <c r="C35" s="58">
        <v>12412.349669720861</v>
      </c>
      <c r="D35" s="58">
        <v>12448.351159390015</v>
      </c>
      <c r="E35" s="58">
        <v>13334.955859969559</v>
      </c>
      <c r="F35" s="58">
        <v>14105.727257893621</v>
      </c>
      <c r="G35" s="58">
        <v>14520.148769427293</v>
      </c>
      <c r="H35" s="58">
        <v>15161.052296336207</v>
      </c>
      <c r="I35" s="60">
        <f t="shared" si="0"/>
        <v>640.9035269089145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58">
        <v>13830.677949392048</v>
      </c>
      <c r="C36" s="58">
        <v>14323.311820875864</v>
      </c>
      <c r="D36" s="58">
        <v>15350.671492588763</v>
      </c>
      <c r="E36" s="58">
        <v>15200.49453461411</v>
      </c>
      <c r="F36" s="58">
        <v>15707.712262910798</v>
      </c>
      <c r="G36" s="58">
        <v>16845.478920065252</v>
      </c>
      <c r="H36" s="58">
        <v>18960.886209735148</v>
      </c>
      <c r="I36" s="60">
        <f t="shared" si="0"/>
        <v>2115.4072896698963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58">
        <v>9981.6080141497932</v>
      </c>
      <c r="C37" s="58">
        <v>10542.434704205689</v>
      </c>
      <c r="D37" s="58">
        <v>10394.63142197963</v>
      </c>
      <c r="E37" s="58">
        <v>10223.936947554508</v>
      </c>
      <c r="F37" s="58">
        <v>10284.563774854239</v>
      </c>
      <c r="G37" s="58">
        <v>9910.5780867406665</v>
      </c>
      <c r="H37" s="58">
        <v>11416.287714526869</v>
      </c>
      <c r="I37" s="60">
        <f t="shared" si="0"/>
        <v>1505.709627786202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58">
        <v>15617.02400848919</v>
      </c>
      <c r="C38" s="58">
        <v>17067.359351381063</v>
      </c>
      <c r="D38" s="58">
        <v>17745.603068340308</v>
      </c>
      <c r="E38" s="58">
        <v>18359.413580246914</v>
      </c>
      <c r="F38" s="58">
        <v>19662.182531680442</v>
      </c>
      <c r="G38" s="58">
        <v>19718.472109154456</v>
      </c>
      <c r="H38" s="58">
        <v>20667.194279753763</v>
      </c>
      <c r="I38" s="60">
        <f t="shared" si="0"/>
        <v>948.72217059930699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58">
        <v>11963.431320504313</v>
      </c>
      <c r="C39" s="58">
        <v>11859.544975186103</v>
      </c>
      <c r="D39" s="58">
        <v>11380.381464264961</v>
      </c>
      <c r="E39" s="58">
        <v>11582.766513497989</v>
      </c>
      <c r="F39" s="58">
        <v>12905.487738443535</v>
      </c>
      <c r="G39" s="58">
        <v>13263.566863662963</v>
      </c>
      <c r="H39" s="58">
        <v>15501.215172761302</v>
      </c>
      <c r="I39" s="60">
        <f t="shared" si="0"/>
        <v>2237.6483090983384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58">
        <v>9122.4109383995401</v>
      </c>
      <c r="C40" s="58">
        <v>9403.7406904357667</v>
      </c>
      <c r="D40" s="58">
        <v>10468.450424929179</v>
      </c>
      <c r="E40" s="58">
        <v>10877.1369846001</v>
      </c>
      <c r="F40" s="58">
        <v>11736.167249354163</v>
      </c>
      <c r="G40" s="58">
        <v>11359.563816979819</v>
      </c>
      <c r="H40" s="58">
        <v>11722.732380093132</v>
      </c>
      <c r="I40" s="60">
        <f t="shared" si="0"/>
        <v>363.16856311331321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58">
        <v>12442.184738955822</v>
      </c>
      <c r="C41" s="58">
        <v>13528.947887586079</v>
      </c>
      <c r="D41" s="58">
        <v>14176.950647865853</v>
      </c>
      <c r="E41" s="58">
        <v>14673.817049808429</v>
      </c>
      <c r="F41" s="58">
        <v>15458.449755555557</v>
      </c>
      <c r="G41" s="58">
        <v>14971.268669924943</v>
      </c>
      <c r="H41" s="58">
        <v>16777.226165620839</v>
      </c>
      <c r="I41" s="60">
        <f t="shared" si="0"/>
        <v>1805.9574956958968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58">
        <v>18099.771225428693</v>
      </c>
      <c r="C42" s="58">
        <v>19806.102514506769</v>
      </c>
      <c r="D42" s="58">
        <v>21623.569460390358</v>
      </c>
      <c r="E42" s="58">
        <v>22838.636021631788</v>
      </c>
      <c r="F42" s="58">
        <v>26921.776825821238</v>
      </c>
      <c r="G42" s="58">
        <v>25351.035978780459</v>
      </c>
      <c r="H42" s="58">
        <v>28739.282518014876</v>
      </c>
      <c r="I42" s="60">
        <f t="shared" si="0"/>
        <v>3388.2465392344166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58">
        <v>14158.020698988934</v>
      </c>
      <c r="C43" s="58">
        <v>14461.786976744186</v>
      </c>
      <c r="D43" s="58">
        <v>14470.335605028018</v>
      </c>
      <c r="E43" s="58">
        <v>14000.837510680718</v>
      </c>
      <c r="F43" s="58">
        <v>13946.785622359443</v>
      </c>
      <c r="G43" s="58">
        <v>14432.160271650193</v>
      </c>
      <c r="H43" s="58">
        <v>15307.284243558614</v>
      </c>
      <c r="I43" s="60">
        <f t="shared" si="0"/>
        <v>875.12397190842057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58">
        <v>16816.867106503298</v>
      </c>
      <c r="C44" s="58">
        <v>16946.241012472488</v>
      </c>
      <c r="D44" s="58">
        <v>16761.894867256637</v>
      </c>
      <c r="E44" s="58">
        <v>16979.924899808328</v>
      </c>
      <c r="F44" s="58">
        <v>19092.021755014328</v>
      </c>
      <c r="G44" s="58">
        <v>19284.007549692175</v>
      </c>
      <c r="H44" s="58">
        <v>20120.386208987162</v>
      </c>
      <c r="I44" s="60">
        <f t="shared" si="0"/>
        <v>836.3786592949873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58">
        <v>15392.090216294968</v>
      </c>
      <c r="C45" s="58">
        <v>15732.381124234471</v>
      </c>
      <c r="D45" s="58">
        <v>15877.081456739576</v>
      </c>
      <c r="E45" s="58">
        <v>16842.561861394937</v>
      </c>
      <c r="F45" s="58">
        <v>18545.469774890807</v>
      </c>
      <c r="G45" s="58">
        <v>19550.578063626966</v>
      </c>
      <c r="H45" s="58">
        <v>20521.37195769366</v>
      </c>
      <c r="I45" s="60">
        <f t="shared" si="0"/>
        <v>970.79389406669361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58">
        <v>10691.660340945642</v>
      </c>
      <c r="C46" s="58">
        <v>11307.234021949645</v>
      </c>
      <c r="D46" s="58">
        <v>11653.460240181759</v>
      </c>
      <c r="E46" s="58">
        <v>12973.47893258427</v>
      </c>
      <c r="F46" s="58">
        <v>13314.941218708827</v>
      </c>
      <c r="G46" s="58">
        <v>12818.4848781992</v>
      </c>
      <c r="H46" s="58">
        <v>13235.045739480198</v>
      </c>
      <c r="I46" s="60">
        <f t="shared" si="0"/>
        <v>416.56086128099741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58">
        <v>19173.633063209076</v>
      </c>
      <c r="C47" s="58">
        <v>20751.563654353562</v>
      </c>
      <c r="D47" s="58">
        <v>21180.855217010085</v>
      </c>
      <c r="E47" s="58">
        <v>21333.465422965583</v>
      </c>
      <c r="F47" s="58">
        <v>23345.936049236723</v>
      </c>
      <c r="G47" s="58">
        <v>24503.462574876579</v>
      </c>
      <c r="H47" s="58">
        <v>26472.960166516143</v>
      </c>
      <c r="I47" s="60">
        <f t="shared" si="0"/>
        <v>1969.4975916395633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58">
        <v>17524.045361760036</v>
      </c>
      <c r="C48" s="58">
        <v>17954.192595762892</v>
      </c>
      <c r="D48" s="58">
        <v>18222.606717687075</v>
      </c>
      <c r="E48" s="58">
        <v>18282.446993180409</v>
      </c>
      <c r="F48" s="58">
        <v>18832.872004301917</v>
      </c>
      <c r="G48" s="58">
        <v>18828.029461772538</v>
      </c>
      <c r="H48" s="58">
        <v>20644.926250235716</v>
      </c>
      <c r="I48" s="60">
        <f t="shared" si="0"/>
        <v>1816.8967884631784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58">
        <v>18646.164924506389</v>
      </c>
      <c r="C49" s="58">
        <v>17396.285957930642</v>
      </c>
      <c r="D49" s="58">
        <v>18471.054899645809</v>
      </c>
      <c r="E49" s="58">
        <v>18776.336823734731</v>
      </c>
      <c r="F49" s="58">
        <v>21867.39788819876</v>
      </c>
      <c r="G49" s="58">
        <v>23320.035431701031</v>
      </c>
      <c r="H49" s="58">
        <v>27277.610445383616</v>
      </c>
      <c r="I49" s="60">
        <f t="shared" si="0"/>
        <v>3957.5750136825845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102">
        <v>0</v>
      </c>
      <c r="C50" s="102">
        <v>0</v>
      </c>
      <c r="D50" s="102">
        <v>0</v>
      </c>
      <c r="E50" s="102">
        <v>0</v>
      </c>
      <c r="F50" s="102">
        <v>17159.865518257353</v>
      </c>
      <c r="G50" s="102">
        <v>17810.422873972169</v>
      </c>
      <c r="H50" s="102">
        <v>17760.170804161033</v>
      </c>
      <c r="I50" s="112">
        <f t="shared" si="0"/>
        <v>-50.252069811136607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58">
        <v>0</v>
      </c>
      <c r="C51" s="58">
        <v>0</v>
      </c>
      <c r="D51" s="58">
        <v>0</v>
      </c>
      <c r="E51" s="58">
        <v>0</v>
      </c>
      <c r="F51" s="58">
        <v>16000.248115961556</v>
      </c>
      <c r="G51" s="58">
        <v>16463.858535917851</v>
      </c>
      <c r="H51" s="58">
        <v>15731.198239396754</v>
      </c>
      <c r="I51" s="60">
        <f t="shared" si="0"/>
        <v>-732.66029652109683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58">
        <v>0</v>
      </c>
      <c r="C52" s="58">
        <v>0</v>
      </c>
      <c r="D52" s="58">
        <v>0</v>
      </c>
      <c r="E52" s="58">
        <v>0</v>
      </c>
      <c r="F52" s="58">
        <v>25255.191142812357</v>
      </c>
      <c r="G52" s="58">
        <v>27141.818252351095</v>
      </c>
      <c r="H52" s="58">
        <v>32412.903008994279</v>
      </c>
      <c r="I52" s="60">
        <f t="shared" si="0"/>
        <v>5271.0847566431839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83">
        <f t="shared" si="0"/>
        <v>0</v>
      </c>
    </row>
    <row r="54" spans="1:15" hidden="1" x14ac:dyDescent="0.25">
      <c r="A54" s="57" t="s">
        <v>134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3">
        <f t="shared" si="0"/>
        <v>0</v>
      </c>
    </row>
    <row r="55" spans="1:15" hidden="1" x14ac:dyDescent="0.25">
      <c r="A55" s="59" t="s">
        <v>40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84">
        <f t="shared" si="0"/>
        <v>0</v>
      </c>
    </row>
    <row r="56" spans="1:15" hidden="1" x14ac:dyDescent="0.25">
      <c r="A56" s="57" t="s">
        <v>37</v>
      </c>
      <c r="B56" s="58">
        <v>13384.843266333244</v>
      </c>
      <c r="C56" s="58">
        <v>14177.484265094292</v>
      </c>
      <c r="D56" s="58">
        <v>14605.713034552999</v>
      </c>
      <c r="E56" s="58">
        <v>14927.329292023918</v>
      </c>
      <c r="F56" s="58">
        <v>16284.499202522724</v>
      </c>
      <c r="G56" s="58">
        <v>16537.446855485287</v>
      </c>
      <c r="H56" s="58">
        <v>17596.600771310892</v>
      </c>
      <c r="I56" s="84">
        <f t="shared" si="0"/>
        <v>1059.1539158256055</v>
      </c>
    </row>
    <row r="57" spans="1:15" ht="8.1" customHeight="1" x14ac:dyDescent="0.25"/>
    <row r="58" spans="1:15" ht="24" customHeight="1" x14ac:dyDescent="0.25">
      <c r="A58" s="99" t="s">
        <v>194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4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212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33">
        <f>$B$56</f>
        <v>19.067498902201869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33">
        <f>$C$56</f>
        <v>18.855722629551387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33">
        <f>$D$56</f>
        <v>18.850012493753123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33">
        <f>$E$56</f>
        <v>19.428807841639614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33">
        <f>$F$56</f>
        <v>19.605310072583727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33">
        <f>$G$56</f>
        <v>19.909079300217087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33">
        <f>$H$56</f>
        <v>19.570211683936176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133">
        <f>B14-B13</f>
        <v>-0.33886761628091122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192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19.015375384384608</v>
      </c>
      <c r="C19" s="84">
        <v>18.691362566215421</v>
      </c>
      <c r="D19" s="84">
        <v>18.741607248960189</v>
      </c>
      <c r="E19" s="84">
        <v>19.301388572729341</v>
      </c>
      <c r="F19" s="84">
        <v>19.507400379506642</v>
      </c>
      <c r="G19" s="84">
        <v>19.878548055703522</v>
      </c>
      <c r="H19" s="84">
        <v>19.576151390788873</v>
      </c>
      <c r="I19" s="134">
        <f>H19-G19</f>
        <v>-0.30239666491464945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16.930555555555557</v>
      </c>
      <c r="C20" s="84">
        <v>16.575438596491228</v>
      </c>
      <c r="D20" s="84">
        <v>15.778523489932885</v>
      </c>
      <c r="E20" s="84">
        <v>15.59866220735786</v>
      </c>
      <c r="F20" s="84">
        <v>16.125435540069688</v>
      </c>
      <c r="G20" s="84">
        <v>16.769784172661872</v>
      </c>
      <c r="H20" s="84">
        <v>16.75357142857143</v>
      </c>
      <c r="I20" s="135">
        <f t="shared" ref="I20:I56" si="0">H20-G20</f>
        <v>-1.6212744090442044E-2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20.712871287128714</v>
      </c>
      <c r="C21" s="84">
        <v>20.109137055837564</v>
      </c>
      <c r="D21" s="84">
        <v>20.41518987341772</v>
      </c>
      <c r="E21" s="84">
        <v>22.193548387096776</v>
      </c>
      <c r="F21" s="84">
        <v>21.402116402116402</v>
      </c>
      <c r="G21" s="84">
        <v>21.425974025974025</v>
      </c>
      <c r="H21" s="84">
        <v>21.102244389027433</v>
      </c>
      <c r="I21" s="135">
        <f t="shared" si="0"/>
        <v>-0.32372963694659163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22.11627906976744</v>
      </c>
      <c r="C22" s="84">
        <v>19.600000000000001</v>
      </c>
      <c r="D22" s="84">
        <v>20.652631578947368</v>
      </c>
      <c r="E22" s="84">
        <v>18.939393939393938</v>
      </c>
      <c r="F22" s="84">
        <v>20.637362637362639</v>
      </c>
      <c r="G22" s="84">
        <v>19.348837209302324</v>
      </c>
      <c r="H22" s="84">
        <v>19.732558139534884</v>
      </c>
      <c r="I22" s="135">
        <f t="shared" si="0"/>
        <v>0.38372093023255971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16.495575221238937</v>
      </c>
      <c r="C23" s="84">
        <v>18.037383177570092</v>
      </c>
      <c r="D23" s="84">
        <v>17.925233644859812</v>
      </c>
      <c r="E23" s="84">
        <v>18</v>
      </c>
      <c r="F23" s="84">
        <v>17.311320754716981</v>
      </c>
      <c r="G23" s="84">
        <v>17.39423076923077</v>
      </c>
      <c r="H23" s="84">
        <v>18.407766990291261</v>
      </c>
      <c r="I23" s="135">
        <f t="shared" si="0"/>
        <v>1.013536221060491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16.137787056367433</v>
      </c>
      <c r="C24" s="84">
        <v>17.788764044943822</v>
      </c>
      <c r="D24" s="84">
        <v>16.802222222222223</v>
      </c>
      <c r="E24" s="84">
        <v>17.243619489559165</v>
      </c>
      <c r="F24" s="84">
        <v>18.112709832134293</v>
      </c>
      <c r="G24" s="84">
        <v>17.980582524271846</v>
      </c>
      <c r="H24" s="84">
        <v>17.356435643564357</v>
      </c>
      <c r="I24" s="135">
        <f t="shared" si="0"/>
        <v>-0.6241468807074888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16.026178010471206</v>
      </c>
      <c r="C25" s="84">
        <v>15.019867549668874</v>
      </c>
      <c r="D25" s="84">
        <v>16.743545611015492</v>
      </c>
      <c r="E25" s="84">
        <v>17.405017921146953</v>
      </c>
      <c r="F25" s="84">
        <v>15.285714285714286</v>
      </c>
      <c r="G25" s="84">
        <v>17.137802607076349</v>
      </c>
      <c r="H25" s="84">
        <v>14.806563039723661</v>
      </c>
      <c r="I25" s="135">
        <f t="shared" si="0"/>
        <v>-2.3312395673526876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18.426940639269407</v>
      </c>
      <c r="C26" s="84">
        <v>18.523474178403756</v>
      </c>
      <c r="D26" s="84">
        <v>19.079518072289158</v>
      </c>
      <c r="E26" s="84">
        <v>21.09692671394799</v>
      </c>
      <c r="F26" s="84">
        <v>22.018823529411765</v>
      </c>
      <c r="G26" s="84">
        <v>23.087155963302752</v>
      </c>
      <c r="H26" s="84">
        <v>24.816229116945106</v>
      </c>
      <c r="I26" s="135">
        <f t="shared" si="0"/>
        <v>1.7290731536423536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14.229007633587786</v>
      </c>
      <c r="C27" s="84">
        <v>15.434426229508198</v>
      </c>
      <c r="D27" s="84">
        <v>15.75206611570248</v>
      </c>
      <c r="E27" s="84">
        <v>15.60655737704918</v>
      </c>
      <c r="F27" s="84">
        <v>17.120689655172413</v>
      </c>
      <c r="G27" s="84">
        <v>15.948717948717949</v>
      </c>
      <c r="H27" s="84">
        <v>15.25</v>
      </c>
      <c r="I27" s="135">
        <f t="shared" si="0"/>
        <v>-0.6987179487179489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14.638036809815951</v>
      </c>
      <c r="C28" s="84">
        <v>14.624242424242425</v>
      </c>
      <c r="D28" s="84">
        <v>15.140243902439025</v>
      </c>
      <c r="E28" s="84">
        <v>14.70440251572327</v>
      </c>
      <c r="F28" s="84">
        <v>14.092105263157896</v>
      </c>
      <c r="G28" s="84">
        <v>13.688741721854305</v>
      </c>
      <c r="H28" s="84">
        <v>12.371794871794872</v>
      </c>
      <c r="I28" s="135">
        <f t="shared" si="0"/>
        <v>-1.3169468500594324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17.642250530785564</v>
      </c>
      <c r="C29" s="84">
        <v>19.934569247546346</v>
      </c>
      <c r="D29" s="84">
        <v>19.108836206896552</v>
      </c>
      <c r="E29" s="84">
        <v>19.411764705882351</v>
      </c>
      <c r="F29" s="84">
        <v>19.575963718820862</v>
      </c>
      <c r="G29" s="84">
        <v>21.008139534883721</v>
      </c>
      <c r="H29" s="84">
        <v>21.01042873696408</v>
      </c>
      <c r="I29" s="135">
        <f t="shared" si="0"/>
        <v>2.2892020803588764E-3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21.098802395209582</v>
      </c>
      <c r="C30" s="84">
        <v>21.394495412844037</v>
      </c>
      <c r="D30" s="84">
        <v>21.20440251572327</v>
      </c>
      <c r="E30" s="84">
        <v>21.537459283387623</v>
      </c>
      <c r="F30" s="84">
        <v>20.03184713375796</v>
      </c>
      <c r="G30" s="84">
        <v>20.644295302013422</v>
      </c>
      <c r="H30" s="84">
        <v>20.653198653198654</v>
      </c>
      <c r="I30" s="135">
        <f t="shared" si="0"/>
        <v>8.9033511852321112E-3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17.004608294930875</v>
      </c>
      <c r="C31" s="84">
        <v>17.675675675675677</v>
      </c>
      <c r="D31" s="84">
        <v>16.657142857142858</v>
      </c>
      <c r="E31" s="84">
        <v>16.877272727272729</v>
      </c>
      <c r="F31" s="84">
        <v>17.441314553990612</v>
      </c>
      <c r="G31" s="84">
        <v>17.970443349753694</v>
      </c>
      <c r="H31" s="84">
        <v>17.165853658536584</v>
      </c>
      <c r="I31" s="135">
        <f t="shared" si="0"/>
        <v>-0.80458969121711021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17.409039548022598</v>
      </c>
      <c r="C32" s="84">
        <v>16.7292377701934</v>
      </c>
      <c r="D32" s="84">
        <v>16.406629834254144</v>
      </c>
      <c r="E32" s="84">
        <v>16.606818181818181</v>
      </c>
      <c r="F32" s="84">
        <v>17.008092485549135</v>
      </c>
      <c r="G32" s="84">
        <v>16.939566704675027</v>
      </c>
      <c r="H32" s="84">
        <v>17.531784841075794</v>
      </c>
      <c r="I32" s="135">
        <f t="shared" si="0"/>
        <v>0.59221813640076704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18.452736318407961</v>
      </c>
      <c r="C33" s="84">
        <v>18.928628389154706</v>
      </c>
      <c r="D33" s="84">
        <v>19.640874684608914</v>
      </c>
      <c r="E33" s="84">
        <v>20.747492368076756</v>
      </c>
      <c r="F33" s="84">
        <v>20.979574098218166</v>
      </c>
      <c r="G33" s="84">
        <v>20.926356589147286</v>
      </c>
      <c r="H33" s="84">
        <v>21.020175438596493</v>
      </c>
      <c r="I33" s="135">
        <f t="shared" si="0"/>
        <v>9.3818849449206709E-2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25.087755102040816</v>
      </c>
      <c r="C34" s="84">
        <v>24.09591836734694</v>
      </c>
      <c r="D34" s="84">
        <v>24.639240506329113</v>
      </c>
      <c r="E34" s="84">
        <v>23.995708154506438</v>
      </c>
      <c r="F34" s="84">
        <v>24.2646420824295</v>
      </c>
      <c r="G34" s="84">
        <v>25.013422818791945</v>
      </c>
      <c r="H34" s="84">
        <v>25.197727272727274</v>
      </c>
      <c r="I34" s="135">
        <f t="shared" si="0"/>
        <v>0.18430445393532935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19.888888888888889</v>
      </c>
      <c r="C35" s="84">
        <v>19.077235772357724</v>
      </c>
      <c r="D35" s="84">
        <v>18.846456692913385</v>
      </c>
      <c r="E35" s="84">
        <v>18.771428571428572</v>
      </c>
      <c r="F35" s="84">
        <v>19.419753086419753</v>
      </c>
      <c r="G35" s="84">
        <v>19.40909090909091</v>
      </c>
      <c r="H35" s="84">
        <v>19.495798319327729</v>
      </c>
      <c r="I35" s="135">
        <f t="shared" si="0"/>
        <v>8.6707410236819271E-2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24.942622950819672</v>
      </c>
      <c r="C36" s="84">
        <v>25.308333333333334</v>
      </c>
      <c r="D36" s="84">
        <v>23.39516129032258</v>
      </c>
      <c r="E36" s="84">
        <v>24.346774193548388</v>
      </c>
      <c r="F36" s="84">
        <v>25.975609756097562</v>
      </c>
      <c r="G36" s="84">
        <v>24.918699186991869</v>
      </c>
      <c r="H36" s="84">
        <v>22.532258064516128</v>
      </c>
      <c r="I36" s="135">
        <f t="shared" si="0"/>
        <v>-2.3864411224757411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18.631818181818183</v>
      </c>
      <c r="C37" s="84">
        <v>19.29405162738496</v>
      </c>
      <c r="D37" s="84">
        <v>19.658185840707965</v>
      </c>
      <c r="E37" s="84">
        <v>20.810479375696769</v>
      </c>
      <c r="F37" s="84">
        <v>20.290192113245702</v>
      </c>
      <c r="G37" s="84">
        <v>20.412045889101339</v>
      </c>
      <c r="H37" s="84">
        <v>19.673431734317344</v>
      </c>
      <c r="I37" s="135">
        <f t="shared" si="0"/>
        <v>-0.7386141547839955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18.343065693430656</v>
      </c>
      <c r="C38" s="84">
        <v>18.563775510204081</v>
      </c>
      <c r="D38" s="84">
        <v>17.791563275434243</v>
      </c>
      <c r="E38" s="84">
        <v>17.731343283582088</v>
      </c>
      <c r="F38" s="84">
        <v>18.333333333333332</v>
      </c>
      <c r="G38" s="84">
        <v>18.928753180661577</v>
      </c>
      <c r="H38" s="84">
        <v>18.41309823677582</v>
      </c>
      <c r="I38" s="135">
        <f t="shared" si="0"/>
        <v>-0.51565494388575672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12.825531914893617</v>
      </c>
      <c r="C39" s="84">
        <v>13.267489711934155</v>
      </c>
      <c r="D39" s="84">
        <v>13.551181102362206</v>
      </c>
      <c r="E39" s="84">
        <v>13.041198501872659</v>
      </c>
      <c r="F39" s="84">
        <v>12.52014652014652</v>
      </c>
      <c r="G39" s="84">
        <v>13.894308943089431</v>
      </c>
      <c r="H39" s="84">
        <v>14.410788381742739</v>
      </c>
      <c r="I39" s="135">
        <f t="shared" si="0"/>
        <v>0.51647943865330781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20.483490566037737</v>
      </c>
      <c r="C40" s="84">
        <v>21.601466992665038</v>
      </c>
      <c r="D40" s="84">
        <v>19.658595641646489</v>
      </c>
      <c r="E40" s="84">
        <v>19.881481481481483</v>
      </c>
      <c r="F40" s="84">
        <v>20.1712158808933</v>
      </c>
      <c r="G40" s="84">
        <v>19.958333333333332</v>
      </c>
      <c r="H40" s="84">
        <v>20.211764705882352</v>
      </c>
      <c r="I40" s="135">
        <f t="shared" si="0"/>
        <v>0.25343137254902004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16.06451612903226</v>
      </c>
      <c r="C41" s="84">
        <v>16.431192660550458</v>
      </c>
      <c r="D41" s="84">
        <v>15.903030303030302</v>
      </c>
      <c r="E41" s="84">
        <v>16.363636363636363</v>
      </c>
      <c r="F41" s="84">
        <v>18.75</v>
      </c>
      <c r="G41" s="84">
        <v>23.008032128514056</v>
      </c>
      <c r="H41" s="84">
        <v>21.378048780487806</v>
      </c>
      <c r="I41" s="135">
        <f t="shared" si="0"/>
        <v>-1.6299833480262507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16.210169491525424</v>
      </c>
      <c r="C42" s="84">
        <v>15.205882352941176</v>
      </c>
      <c r="D42" s="84">
        <v>14.278688524590164</v>
      </c>
      <c r="E42" s="84">
        <v>15.162210338680927</v>
      </c>
      <c r="F42" s="84">
        <v>14.96</v>
      </c>
      <c r="G42" s="84">
        <v>16.031775700934581</v>
      </c>
      <c r="H42" s="84">
        <v>16.264650283553877</v>
      </c>
      <c r="I42" s="135">
        <f t="shared" si="0"/>
        <v>0.23287458261929572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299.07142857142856</v>
      </c>
      <c r="C43" s="84">
        <v>24.760076775431862</v>
      </c>
      <c r="D43" s="84">
        <v>25.543520309477756</v>
      </c>
      <c r="E43" s="84">
        <v>26.299625468164795</v>
      </c>
      <c r="F43" s="84">
        <v>26.991228070175438</v>
      </c>
      <c r="G43" s="84">
        <v>25.251239669421487</v>
      </c>
      <c r="H43" s="84">
        <v>22.395770392749245</v>
      </c>
      <c r="I43" s="135">
        <f t="shared" si="0"/>
        <v>-2.8554692766722418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17.450657894736842</v>
      </c>
      <c r="C44" s="84">
        <v>18.418918918918919</v>
      </c>
      <c r="D44" s="84">
        <v>19.023569023569024</v>
      </c>
      <c r="E44" s="84">
        <v>19.454237288135594</v>
      </c>
      <c r="F44" s="84">
        <v>19.058020477815699</v>
      </c>
      <c r="G44" s="84">
        <v>19.336734693877553</v>
      </c>
      <c r="H44" s="84">
        <v>19.07482993197279</v>
      </c>
      <c r="I44" s="135">
        <f t="shared" si="0"/>
        <v>-0.26190476190476275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21.657766990291261</v>
      </c>
      <c r="C45" s="84">
        <v>22.194174757281555</v>
      </c>
      <c r="D45" s="84">
        <v>22.747549019607842</v>
      </c>
      <c r="E45" s="84">
        <v>22.398009950248756</v>
      </c>
      <c r="F45" s="84">
        <v>22.491183879093199</v>
      </c>
      <c r="G45" s="84">
        <v>22.211734693877553</v>
      </c>
      <c r="H45" s="84">
        <v>21.992268041237114</v>
      </c>
      <c r="I45" s="135">
        <f t="shared" si="0"/>
        <v>-0.2194666526404383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15.165853658536586</v>
      </c>
      <c r="C46" s="84">
        <v>14.966183574879228</v>
      </c>
      <c r="D46" s="84">
        <v>16.388297872340427</v>
      </c>
      <c r="E46" s="84">
        <v>16.274285714285714</v>
      </c>
      <c r="F46" s="84">
        <v>17.651162790697676</v>
      </c>
      <c r="G46" s="84">
        <v>18.426136363636363</v>
      </c>
      <c r="H46" s="84">
        <v>17.758241758241759</v>
      </c>
      <c r="I46" s="135">
        <f t="shared" si="0"/>
        <v>-0.66789460539460421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15.713073005093378</v>
      </c>
      <c r="C47" s="84">
        <v>15.682758620689656</v>
      </c>
      <c r="D47" s="84">
        <v>16.14867256637168</v>
      </c>
      <c r="E47" s="84">
        <v>16.59608540925267</v>
      </c>
      <c r="F47" s="84">
        <v>16.820976491862567</v>
      </c>
      <c r="G47" s="84">
        <v>16.602914389799636</v>
      </c>
      <c r="H47" s="84">
        <v>16.681732580037664</v>
      </c>
      <c r="I47" s="135">
        <f t="shared" si="0"/>
        <v>7.8818190238028052E-2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16.032727272727271</v>
      </c>
      <c r="C48" s="84">
        <v>18.543650793650794</v>
      </c>
      <c r="D48" s="84">
        <v>17.23076923076923</v>
      </c>
      <c r="E48" s="84">
        <v>17.790441176470587</v>
      </c>
      <c r="F48" s="84">
        <v>18.870848708487085</v>
      </c>
      <c r="G48" s="84">
        <v>19.330882352941178</v>
      </c>
      <c r="H48" s="84">
        <v>19.144404332129962</v>
      </c>
      <c r="I48" s="135">
        <f t="shared" si="0"/>
        <v>-0.18647802081121512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18.126315789473683</v>
      </c>
      <c r="C49" s="84">
        <v>19.988636363636363</v>
      </c>
      <c r="D49" s="84">
        <v>19.929411764705883</v>
      </c>
      <c r="E49" s="84">
        <v>20.464285714285715</v>
      </c>
      <c r="F49" s="84">
        <v>21.184210526315791</v>
      </c>
      <c r="G49" s="84">
        <v>20.972972972972972</v>
      </c>
      <c r="H49" s="84">
        <v>18.094117647058823</v>
      </c>
      <c r="I49" s="135">
        <f t="shared" si="0"/>
        <v>-2.8788553259141487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19.333972392638035</v>
      </c>
      <c r="C50" s="89">
        <v>19.748601119104716</v>
      </c>
      <c r="D50" s="89">
        <v>19.42374213836478</v>
      </c>
      <c r="E50" s="89">
        <v>20.092022116903635</v>
      </c>
      <c r="F50" s="89">
        <v>20.114974318451203</v>
      </c>
      <c r="G50" s="89">
        <v>20.068226894089648</v>
      </c>
      <c r="H50" s="89">
        <v>19.539836766420521</v>
      </c>
      <c r="I50" s="136">
        <f t="shared" si="0"/>
        <v>-0.52839012766912674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19.824330458465727</v>
      </c>
      <c r="C51" s="84">
        <v>20.192452830188678</v>
      </c>
      <c r="D51" s="84">
        <v>19.944547134935306</v>
      </c>
      <c r="E51" s="84">
        <v>20.578024007386887</v>
      </c>
      <c r="F51" s="84">
        <v>20.819074333800842</v>
      </c>
      <c r="G51" s="84">
        <v>20.659813084112148</v>
      </c>
      <c r="H51" s="84">
        <v>20.322595490105844</v>
      </c>
      <c r="I51" s="135">
        <f t="shared" si="0"/>
        <v>-0.33721759400630447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16.666666666666668</v>
      </c>
      <c r="C52" s="84">
        <v>17.285340314136125</v>
      </c>
      <c r="D52" s="84">
        <v>16.457894736842107</v>
      </c>
      <c r="E52" s="84">
        <v>17.215846994535518</v>
      </c>
      <c r="F52" s="84">
        <v>16.272959183673468</v>
      </c>
      <c r="G52" s="84">
        <v>16.745406824146983</v>
      </c>
      <c r="H52" s="84">
        <v>15.2875</v>
      </c>
      <c r="I52" s="135">
        <f t="shared" si="0"/>
        <v>-1.457906824146983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83">
        <f t="shared" si="0"/>
        <v>0</v>
      </c>
    </row>
    <row r="54" spans="1:15" hidden="1" x14ac:dyDescent="0.25">
      <c r="A54" s="57" t="s">
        <v>134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93">
        <f t="shared" si="0"/>
        <v>0</v>
      </c>
    </row>
    <row r="55" spans="1:15" hidden="1" x14ac:dyDescent="0.25">
      <c r="A55" s="59" t="s">
        <v>40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84">
        <f t="shared" si="0"/>
        <v>0</v>
      </c>
    </row>
    <row r="56" spans="1:15" hidden="1" x14ac:dyDescent="0.25">
      <c r="A56" s="57" t="s">
        <v>37</v>
      </c>
      <c r="B56" s="132">
        <v>19.067498902201869</v>
      </c>
      <c r="C56" s="132">
        <v>18.855722629551387</v>
      </c>
      <c r="D56" s="132">
        <v>18.850012493753123</v>
      </c>
      <c r="E56" s="132">
        <v>19.428807841639614</v>
      </c>
      <c r="F56" s="132">
        <v>19.605310072583727</v>
      </c>
      <c r="G56" s="132">
        <v>19.909079300217087</v>
      </c>
      <c r="H56" s="132">
        <v>19.570211683936176</v>
      </c>
      <c r="I56" s="84">
        <f t="shared" si="0"/>
        <v>-0.33886761628091122</v>
      </c>
    </row>
    <row r="57" spans="1:15" ht="8.1" customHeight="1" x14ac:dyDescent="0.25"/>
    <row r="58" spans="1:15" ht="24" customHeight="1" x14ac:dyDescent="0.25">
      <c r="A58" s="99" t="s">
        <v>193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1.5703125" style="56" bestFit="1" customWidth="1"/>
    <col min="11" max="11" width="15.140625" style="56" bestFit="1" customWidth="1"/>
    <col min="12" max="12" width="11.5703125" style="56" bestFit="1" customWidth="1"/>
    <col min="13" max="13" width="15.140625" style="56" bestFit="1" customWidth="1"/>
    <col min="14" max="14" width="11.5703125" style="56" bestFit="1" customWidth="1"/>
    <col min="15" max="15" width="20.140625" style="56" bestFit="1" customWidth="1"/>
    <col min="16" max="16" width="16.5703125" style="56" bestFit="1" customWidth="1"/>
    <col min="17" max="16384" width="11.42578125" style="56"/>
  </cols>
  <sheetData>
    <row r="1" spans="1:9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9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9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9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9" s="4" customFormat="1" ht="15" customHeight="1" x14ac:dyDescent="0.25">
      <c r="A5" s="90" t="s">
        <v>221</v>
      </c>
      <c r="B5" s="90"/>
      <c r="C5" s="90"/>
      <c r="D5" s="90"/>
      <c r="E5" s="90"/>
      <c r="F5" s="90"/>
      <c r="G5" s="90"/>
      <c r="H5" s="91"/>
      <c r="I5" s="91"/>
    </row>
    <row r="6" spans="1:9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9" s="77" customFormat="1" ht="15" customHeight="1" x14ac:dyDescent="0.35">
      <c r="A7" s="85" t="s">
        <v>196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9" s="77" customFormat="1" ht="15" customHeight="1" x14ac:dyDescent="0.35">
      <c r="A8" s="86">
        <v>2012</v>
      </c>
      <c r="B8" s="116">
        <f>$B$56</f>
        <v>16.412297873040419</v>
      </c>
      <c r="C8" s="78"/>
      <c r="D8" s="76"/>
      <c r="E8" s="72"/>
      <c r="F8" s="72"/>
      <c r="G8" s="72"/>
      <c r="H8" s="72"/>
      <c r="I8" s="6"/>
    </row>
    <row r="9" spans="1:9" s="77" customFormat="1" ht="15" customHeight="1" x14ac:dyDescent="0.35">
      <c r="A9" s="86">
        <v>2013</v>
      </c>
      <c r="B9" s="116">
        <f>$C$56</f>
        <v>17.919753249149817</v>
      </c>
      <c r="C9" s="76"/>
      <c r="D9" s="76"/>
      <c r="E9" s="72"/>
      <c r="F9" s="72"/>
      <c r="G9" s="72"/>
      <c r="H9" s="72"/>
      <c r="I9" s="6"/>
    </row>
    <row r="10" spans="1:9" s="77" customFormat="1" ht="15" customHeight="1" x14ac:dyDescent="0.35">
      <c r="A10" s="86">
        <v>2014</v>
      </c>
      <c r="B10" s="116">
        <f>$D$56</f>
        <v>6.2766983373708785</v>
      </c>
      <c r="C10" s="76"/>
      <c r="D10" s="76"/>
      <c r="E10" s="72"/>
      <c r="F10" s="72"/>
      <c r="G10" s="72"/>
      <c r="H10" s="72"/>
      <c r="I10" s="6"/>
    </row>
    <row r="11" spans="1:9" s="77" customFormat="1" ht="15" customHeight="1" x14ac:dyDescent="0.35">
      <c r="A11" s="86">
        <v>2015</v>
      </c>
      <c r="B11" s="116">
        <f>$E$56</f>
        <v>5.857243010555421</v>
      </c>
      <c r="C11" s="76"/>
      <c r="D11" s="76"/>
      <c r="E11" s="72"/>
      <c r="F11" s="72"/>
      <c r="G11" s="72"/>
      <c r="H11" s="72"/>
      <c r="I11" s="6"/>
    </row>
    <row r="12" spans="1:9" s="77" customFormat="1" ht="15" customHeight="1" x14ac:dyDescent="0.35">
      <c r="A12" s="86">
        <v>2016</v>
      </c>
      <c r="B12" s="116">
        <f>$F$56</f>
        <v>4.7148456909402086</v>
      </c>
      <c r="C12" s="76"/>
      <c r="D12" s="76"/>
      <c r="E12" s="72"/>
      <c r="F12" s="72"/>
      <c r="G12" s="72"/>
      <c r="H12" s="72"/>
      <c r="I12" s="6"/>
    </row>
    <row r="13" spans="1:9" s="77" customFormat="1" ht="15" customHeight="1" x14ac:dyDescent="0.35">
      <c r="A13" s="86">
        <v>2017</v>
      </c>
      <c r="B13" s="116">
        <f>$G$56</f>
        <v>5.4205044000307874</v>
      </c>
      <c r="C13" s="76"/>
      <c r="D13" s="76"/>
      <c r="E13" s="72"/>
      <c r="F13" s="72"/>
      <c r="G13" s="72"/>
      <c r="H13" s="72"/>
      <c r="I13" s="6"/>
    </row>
    <row r="14" spans="1:9" s="77" customFormat="1" ht="15" customHeight="1" x14ac:dyDescent="0.35">
      <c r="A14" s="86">
        <v>2018</v>
      </c>
      <c r="B14" s="116">
        <f>$H$56</f>
        <v>3.3164533114185395</v>
      </c>
      <c r="C14" s="76"/>
      <c r="D14" s="76"/>
      <c r="E14" s="72"/>
      <c r="F14" s="72"/>
      <c r="G14" s="72"/>
      <c r="H14" s="72"/>
      <c r="I14" s="6"/>
    </row>
    <row r="15" spans="1:9" s="77" customFormat="1" ht="15" customHeight="1" x14ac:dyDescent="0.35">
      <c r="A15" s="88" t="s">
        <v>47</v>
      </c>
      <c r="B15" s="87">
        <f>B14-B13</f>
        <v>-2.1040510886122479</v>
      </c>
      <c r="C15" s="76"/>
      <c r="D15" s="76"/>
      <c r="E15" s="72"/>
      <c r="F15" s="72"/>
      <c r="G15" s="72"/>
      <c r="H15" s="72"/>
      <c r="I15" s="6"/>
    </row>
    <row r="16" spans="1:9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4" hidden="1" x14ac:dyDescent="0.25">
      <c r="A17" s="94" t="s">
        <v>195</v>
      </c>
      <c r="B17" s="55" t="s">
        <v>45</v>
      </c>
      <c r="I17" s="92" t="s">
        <v>170</v>
      </c>
      <c r="J17" s="3"/>
      <c r="K17" s="3"/>
      <c r="L17" s="3"/>
      <c r="M17" s="3"/>
      <c r="N17" s="3"/>
    </row>
    <row r="18" spans="1:14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</row>
    <row r="19" spans="1:14" x14ac:dyDescent="0.25">
      <c r="A19" s="57" t="s">
        <v>49</v>
      </c>
      <c r="B19" s="84">
        <v>16.664563053184608</v>
      </c>
      <c r="C19" s="84">
        <v>19.372335693733199</v>
      </c>
      <c r="D19" s="84">
        <v>6.5935633696207852</v>
      </c>
      <c r="E19" s="84">
        <v>6.0560672712905852</v>
      </c>
      <c r="F19" s="84">
        <v>4.5982646589626865</v>
      </c>
      <c r="G19" s="84">
        <v>5.25640829326555</v>
      </c>
      <c r="H19" s="84">
        <v>3.6170865313316489</v>
      </c>
      <c r="I19" s="119">
        <f>H19-G19</f>
        <v>-1.6393217619339011</v>
      </c>
      <c r="J19" s="3"/>
      <c r="K19" s="3"/>
      <c r="L19" s="3"/>
      <c r="M19" s="3"/>
      <c r="N19" s="3"/>
    </row>
    <row r="20" spans="1:14" x14ac:dyDescent="0.25">
      <c r="A20" s="59" t="s">
        <v>1</v>
      </c>
      <c r="B20" s="84">
        <v>16.570959803117312</v>
      </c>
      <c r="C20" s="84">
        <v>20.088907705334464</v>
      </c>
      <c r="D20" s="84">
        <v>9.5278604849000423</v>
      </c>
      <c r="E20" s="84">
        <v>8.6620926243567755</v>
      </c>
      <c r="F20" s="84">
        <v>6.8063958513396718</v>
      </c>
      <c r="G20" s="84">
        <v>5.0622050622050621</v>
      </c>
      <c r="H20" s="84">
        <v>3.0910253677254316</v>
      </c>
      <c r="I20" s="120">
        <f t="shared" ref="I20:I56" si="0">H20-G20</f>
        <v>-1.9711796944796305</v>
      </c>
      <c r="J20" s="3"/>
      <c r="K20" s="3"/>
      <c r="L20" s="3"/>
      <c r="M20" s="3"/>
      <c r="N20" s="3"/>
    </row>
    <row r="21" spans="1:14" x14ac:dyDescent="0.25">
      <c r="A21" s="59" t="s">
        <v>3</v>
      </c>
      <c r="B21" s="84">
        <v>15.284416826003824</v>
      </c>
      <c r="C21" s="84">
        <v>19.121544869367664</v>
      </c>
      <c r="D21" s="84">
        <v>5.3695436507936503</v>
      </c>
      <c r="E21" s="84">
        <v>5.2688953488372094</v>
      </c>
      <c r="F21" s="84">
        <v>3.930778739184178</v>
      </c>
      <c r="G21" s="84">
        <v>4.8369499333252515</v>
      </c>
      <c r="H21" s="84">
        <v>2.3989600567241789</v>
      </c>
      <c r="I21" s="120">
        <f t="shared" si="0"/>
        <v>-2.4379898766010726</v>
      </c>
      <c r="J21" s="3"/>
      <c r="K21" s="3"/>
      <c r="L21" s="3"/>
      <c r="M21" s="3"/>
      <c r="N21" s="3"/>
    </row>
    <row r="22" spans="1:14" x14ac:dyDescent="0.25">
      <c r="A22" s="59" t="s">
        <v>4</v>
      </c>
      <c r="B22" s="84">
        <v>22.923238696109358</v>
      </c>
      <c r="C22" s="84">
        <v>21.963070942662778</v>
      </c>
      <c r="D22" s="84">
        <v>9.5820591233435266</v>
      </c>
      <c r="E22" s="84">
        <v>11.893333333333334</v>
      </c>
      <c r="F22" s="84">
        <v>8.2002129925452607</v>
      </c>
      <c r="G22" s="84">
        <v>8.8942307692307701</v>
      </c>
      <c r="H22" s="84">
        <v>4.0659988214496172</v>
      </c>
      <c r="I22" s="120">
        <f t="shared" si="0"/>
        <v>-4.8282319477811528</v>
      </c>
      <c r="J22" s="3"/>
      <c r="K22" s="3"/>
      <c r="L22" s="3"/>
      <c r="M22" s="3"/>
      <c r="N22" s="3"/>
    </row>
    <row r="23" spans="1:14" x14ac:dyDescent="0.25">
      <c r="A23" s="59" t="s">
        <v>5</v>
      </c>
      <c r="B23" s="84">
        <v>22.371244635193133</v>
      </c>
      <c r="C23" s="84">
        <v>25.181347150259064</v>
      </c>
      <c r="D23" s="84">
        <v>11.05318039624609</v>
      </c>
      <c r="E23" s="84">
        <v>12.275132275132275</v>
      </c>
      <c r="F23" s="84">
        <v>9.0463215258855598</v>
      </c>
      <c r="G23" s="84">
        <v>11.166390270867883</v>
      </c>
      <c r="H23" s="84">
        <v>5.3270042194092833</v>
      </c>
      <c r="I23" s="120">
        <f t="shared" si="0"/>
        <v>-5.8393860514585993</v>
      </c>
      <c r="J23" s="3"/>
      <c r="K23" s="3"/>
      <c r="L23" s="3"/>
      <c r="M23" s="3"/>
      <c r="N23" s="3"/>
    </row>
    <row r="24" spans="1:14" x14ac:dyDescent="0.25">
      <c r="A24" s="59" t="s">
        <v>6</v>
      </c>
      <c r="B24" s="84">
        <v>11.203104786545925</v>
      </c>
      <c r="C24" s="84">
        <v>15.525517938352703</v>
      </c>
      <c r="D24" s="84">
        <v>8.4777145880174576</v>
      </c>
      <c r="E24" s="84">
        <v>7.3869752421959092</v>
      </c>
      <c r="F24" s="84">
        <v>5.5474645836091625</v>
      </c>
      <c r="G24" s="84">
        <v>6.2365010799136069</v>
      </c>
      <c r="H24" s="84">
        <v>4.478037649743297</v>
      </c>
      <c r="I24" s="120">
        <f t="shared" si="0"/>
        <v>-1.7584634301703099</v>
      </c>
      <c r="J24" s="3"/>
      <c r="K24" s="3"/>
      <c r="L24" s="3"/>
      <c r="M24" s="3"/>
      <c r="N24" s="3"/>
    </row>
    <row r="25" spans="1:14" x14ac:dyDescent="0.25">
      <c r="A25" s="59" t="s">
        <v>7</v>
      </c>
      <c r="B25" s="84">
        <v>17.369051508221713</v>
      </c>
      <c r="C25" s="84">
        <v>19.896384479717813</v>
      </c>
      <c r="D25" s="84">
        <v>5.0575657894736841</v>
      </c>
      <c r="E25" s="84">
        <v>2.89332784184514</v>
      </c>
      <c r="F25" s="84">
        <v>3.3974711379879055</v>
      </c>
      <c r="G25" s="84">
        <v>4.2486145822014567</v>
      </c>
      <c r="H25" s="84">
        <v>2.9744546833080601</v>
      </c>
      <c r="I25" s="120">
        <f t="shared" si="0"/>
        <v>-1.2741598988933966</v>
      </c>
      <c r="J25" s="3"/>
      <c r="K25" s="3"/>
      <c r="L25" s="3"/>
      <c r="M25" s="3"/>
      <c r="N25" s="3"/>
    </row>
    <row r="26" spans="1:14" x14ac:dyDescent="0.25">
      <c r="A26" s="59" t="s">
        <v>31</v>
      </c>
      <c r="B26" s="84">
        <v>17.395613926403172</v>
      </c>
      <c r="C26" s="84">
        <v>18.616144975288304</v>
      </c>
      <c r="D26" s="84">
        <v>6.5167971710027794</v>
      </c>
      <c r="E26" s="84">
        <v>5.9502465262214255</v>
      </c>
      <c r="F26" s="84">
        <v>4.071382774097029</v>
      </c>
      <c r="G26" s="84">
        <v>5.3248559507252136</v>
      </c>
      <c r="H26" s="84">
        <v>0.7501442585112521</v>
      </c>
      <c r="I26" s="120">
        <f t="shared" si="0"/>
        <v>-4.5747116922139615</v>
      </c>
      <c r="J26" s="3"/>
      <c r="K26" s="3"/>
      <c r="L26" s="3"/>
      <c r="M26" s="3"/>
      <c r="N26" s="3"/>
    </row>
    <row r="27" spans="1:14" x14ac:dyDescent="0.25">
      <c r="A27" s="59" t="s">
        <v>8</v>
      </c>
      <c r="B27" s="84">
        <v>9.6566523605150216</v>
      </c>
      <c r="C27" s="84">
        <v>18.959107806691449</v>
      </c>
      <c r="D27" s="84">
        <v>11.752360965372507</v>
      </c>
      <c r="E27" s="84">
        <v>27.573529411764707</v>
      </c>
      <c r="F27" s="84">
        <v>14.652567975830816</v>
      </c>
      <c r="G27" s="84">
        <v>10.932475884244374</v>
      </c>
      <c r="H27" s="84">
        <v>74.98677948175569</v>
      </c>
      <c r="I27" s="120">
        <f t="shared" si="0"/>
        <v>64.054303597511321</v>
      </c>
      <c r="J27" s="3"/>
      <c r="K27" s="3"/>
      <c r="L27" s="3"/>
      <c r="M27" s="3"/>
      <c r="N27" s="3"/>
    </row>
    <row r="28" spans="1:14" x14ac:dyDescent="0.25">
      <c r="A28" s="59" t="s">
        <v>9</v>
      </c>
      <c r="B28" s="84">
        <v>20.91366303436714</v>
      </c>
      <c r="C28" s="84">
        <v>29.465395772896809</v>
      </c>
      <c r="D28" s="84">
        <v>9.9073701167942012</v>
      </c>
      <c r="E28" s="84">
        <v>8.9820359281437128</v>
      </c>
      <c r="F28" s="84">
        <v>9.3370681605975729</v>
      </c>
      <c r="G28" s="84">
        <v>8.7566521528785675</v>
      </c>
      <c r="H28" s="84">
        <v>4.766839378238342</v>
      </c>
      <c r="I28" s="120">
        <f t="shared" si="0"/>
        <v>-3.9898127746402254</v>
      </c>
      <c r="J28" s="3"/>
      <c r="K28" s="3"/>
      <c r="L28" s="3"/>
      <c r="M28" s="3"/>
      <c r="N28" s="3"/>
    </row>
    <row r="29" spans="1:14" x14ac:dyDescent="0.25">
      <c r="A29" s="59" t="s">
        <v>10</v>
      </c>
      <c r="B29" s="84">
        <v>15.668812804621215</v>
      </c>
      <c r="C29" s="84">
        <v>16.914660831509849</v>
      </c>
      <c r="D29" s="84">
        <v>5.6843173743867368</v>
      </c>
      <c r="E29" s="84">
        <v>5.3459119496855347</v>
      </c>
      <c r="F29" s="84">
        <v>4.4596316460094982</v>
      </c>
      <c r="G29" s="84">
        <v>6.0164941606243429</v>
      </c>
      <c r="H29" s="84">
        <v>3.5407015221707479</v>
      </c>
      <c r="I29" s="120">
        <f t="shared" si="0"/>
        <v>-2.4757926384535951</v>
      </c>
      <c r="J29" s="3"/>
      <c r="K29" s="3"/>
      <c r="L29" s="3"/>
      <c r="M29" s="3"/>
      <c r="N29" s="3"/>
    </row>
    <row r="30" spans="1:14" x14ac:dyDescent="0.25">
      <c r="A30" s="59" t="s">
        <v>11</v>
      </c>
      <c r="B30" s="84">
        <v>21.569462182489001</v>
      </c>
      <c r="C30" s="84">
        <v>23.68496283590623</v>
      </c>
      <c r="D30" s="84">
        <v>9.2985318107667201</v>
      </c>
      <c r="E30" s="84">
        <v>6.7150635208711433</v>
      </c>
      <c r="F30" s="84">
        <v>5.3895071542130362</v>
      </c>
      <c r="G30" s="84">
        <v>5.3153446033810141</v>
      </c>
      <c r="H30" s="84">
        <v>3.4072383436582983</v>
      </c>
      <c r="I30" s="120">
        <f t="shared" si="0"/>
        <v>-1.9081062597227159</v>
      </c>
      <c r="J30" s="3"/>
      <c r="K30" s="3"/>
      <c r="L30" s="3"/>
      <c r="M30" s="3"/>
      <c r="N30" s="3"/>
    </row>
    <row r="31" spans="1:14" x14ac:dyDescent="0.25">
      <c r="A31" s="59" t="s">
        <v>12</v>
      </c>
      <c r="B31" s="84">
        <v>16.639566395663959</v>
      </c>
      <c r="C31" s="84">
        <v>22.273190621814475</v>
      </c>
      <c r="D31" s="84">
        <v>10.205831903945112</v>
      </c>
      <c r="E31" s="84">
        <v>8.5645030972259626</v>
      </c>
      <c r="F31" s="84">
        <v>6.8640646029609691</v>
      </c>
      <c r="G31" s="84">
        <v>6.880482456140351</v>
      </c>
      <c r="H31" s="84">
        <v>4.177323103154305</v>
      </c>
      <c r="I31" s="120">
        <f t="shared" si="0"/>
        <v>-2.703159352986046</v>
      </c>
      <c r="J31" s="3"/>
      <c r="K31" s="3"/>
      <c r="L31" s="3"/>
      <c r="M31" s="3"/>
      <c r="N31" s="3"/>
    </row>
    <row r="32" spans="1:14" x14ac:dyDescent="0.25">
      <c r="A32" s="59" t="s">
        <v>13</v>
      </c>
      <c r="B32" s="84">
        <v>19.387291490880767</v>
      </c>
      <c r="C32" s="84">
        <v>25.297517851071067</v>
      </c>
      <c r="D32" s="84">
        <v>6.916756465517242</v>
      </c>
      <c r="E32" s="84">
        <v>5.8984535377035723</v>
      </c>
      <c r="F32" s="84">
        <v>4.8735725938009793</v>
      </c>
      <c r="G32" s="84">
        <v>6.1927840603123316</v>
      </c>
      <c r="H32" s="84">
        <v>4.8462450317272161</v>
      </c>
      <c r="I32" s="120">
        <f t="shared" si="0"/>
        <v>-1.3465390285851155</v>
      </c>
      <c r="J32" s="3"/>
      <c r="K32" s="3"/>
      <c r="L32" s="3"/>
      <c r="M32" s="3"/>
      <c r="N32" s="3"/>
    </row>
    <row r="33" spans="1:14" x14ac:dyDescent="0.25">
      <c r="A33" s="59" t="s">
        <v>14</v>
      </c>
      <c r="B33" s="84">
        <v>19.341725947280004</v>
      </c>
      <c r="C33" s="84">
        <v>20.074568702209678</v>
      </c>
      <c r="D33" s="84">
        <v>5.2327324112533722</v>
      </c>
      <c r="E33" s="84">
        <v>4.412073821835456</v>
      </c>
      <c r="F33" s="84">
        <v>3.0720470646724944</v>
      </c>
      <c r="G33" s="84">
        <v>4.183902368751415</v>
      </c>
      <c r="H33" s="84">
        <v>2.5894086717022078</v>
      </c>
      <c r="I33" s="120">
        <f t="shared" si="0"/>
        <v>-1.5944936970492072</v>
      </c>
      <c r="J33" s="3"/>
      <c r="K33" s="3"/>
      <c r="L33" s="3"/>
      <c r="M33" s="3"/>
      <c r="N33" s="3"/>
    </row>
    <row r="34" spans="1:14" x14ac:dyDescent="0.25">
      <c r="A34" s="59" t="s">
        <v>30</v>
      </c>
      <c r="B34" s="84">
        <v>18.010249735621901</v>
      </c>
      <c r="C34" s="84">
        <v>17.489624798848141</v>
      </c>
      <c r="D34" s="84">
        <v>6.0792876102406028</v>
      </c>
      <c r="E34" s="84">
        <v>5.6877123949204078</v>
      </c>
      <c r="F34" s="84">
        <v>3.9871267655998568</v>
      </c>
      <c r="G34" s="84">
        <v>4.3019407924157056</v>
      </c>
      <c r="H34" s="84">
        <v>2.3631279877333813</v>
      </c>
      <c r="I34" s="120">
        <f t="shared" si="0"/>
        <v>-1.9388128046823243</v>
      </c>
      <c r="J34" s="3"/>
      <c r="K34" s="3"/>
      <c r="L34" s="3"/>
      <c r="M34" s="3"/>
      <c r="N34" s="3"/>
    </row>
    <row r="35" spans="1:14" x14ac:dyDescent="0.25">
      <c r="A35" s="59" t="s">
        <v>15</v>
      </c>
      <c r="B35" s="84">
        <v>19.712689545091781</v>
      </c>
      <c r="C35" s="84">
        <v>26.401022799914763</v>
      </c>
      <c r="D35" s="84">
        <v>2.1516607478587844</v>
      </c>
      <c r="E35" s="84">
        <v>0.63057186344857574</v>
      </c>
      <c r="F35" s="84">
        <v>0.12714558169103624</v>
      </c>
      <c r="G35" s="84">
        <v>0</v>
      </c>
      <c r="H35" s="84">
        <v>0</v>
      </c>
      <c r="I35" s="120">
        <f t="shared" si="0"/>
        <v>0</v>
      </c>
      <c r="J35" s="3"/>
      <c r="K35" s="3"/>
      <c r="L35" s="3"/>
      <c r="M35" s="3"/>
      <c r="N35" s="3"/>
    </row>
    <row r="36" spans="1:14" x14ac:dyDescent="0.25">
      <c r="A36" s="59" t="s">
        <v>16</v>
      </c>
      <c r="B36" s="84">
        <v>15.64245810055866</v>
      </c>
      <c r="C36" s="84">
        <v>19.88804741521238</v>
      </c>
      <c r="D36" s="84">
        <v>10.754912099276112</v>
      </c>
      <c r="E36" s="84">
        <v>11.725736999006294</v>
      </c>
      <c r="F36" s="84">
        <v>9.9217527386541473</v>
      </c>
      <c r="G36" s="84">
        <v>11.745513866231647</v>
      </c>
      <c r="H36" s="84">
        <v>7.1939871152469586</v>
      </c>
      <c r="I36" s="120">
        <f t="shared" si="0"/>
        <v>-4.5515267509846886</v>
      </c>
      <c r="J36" s="3"/>
      <c r="K36" s="3"/>
      <c r="L36" s="3"/>
      <c r="M36" s="3"/>
      <c r="N36" s="3"/>
    </row>
    <row r="37" spans="1:14" x14ac:dyDescent="0.25">
      <c r="A37" s="59" t="s">
        <v>17</v>
      </c>
      <c r="B37" s="84">
        <v>9.2034642595755063</v>
      </c>
      <c r="C37" s="84">
        <v>10.348438136234076</v>
      </c>
      <c r="D37" s="84">
        <v>5.3851780991503011</v>
      </c>
      <c r="E37" s="84">
        <v>5.0945518830020893</v>
      </c>
      <c r="F37" s="84">
        <v>3.6228634075845916</v>
      </c>
      <c r="G37" s="84">
        <v>4.6180506767832892</v>
      </c>
      <c r="H37" s="84">
        <v>2.9400731501453623</v>
      </c>
      <c r="I37" s="120">
        <f t="shared" si="0"/>
        <v>-1.6779775266379269</v>
      </c>
      <c r="J37" s="3"/>
      <c r="K37" s="3"/>
      <c r="L37" s="3"/>
      <c r="M37" s="3"/>
      <c r="N37" s="3"/>
    </row>
    <row r="38" spans="1:14" x14ac:dyDescent="0.25">
      <c r="A38" s="59" t="s">
        <v>18</v>
      </c>
      <c r="B38" s="84">
        <v>20.374054914444887</v>
      </c>
      <c r="C38" s="84">
        <v>23.567404150061837</v>
      </c>
      <c r="D38" s="84">
        <v>7.4198047419804736</v>
      </c>
      <c r="E38" s="84">
        <v>7.6178451178451176</v>
      </c>
      <c r="F38" s="84">
        <v>5.6336088154269968</v>
      </c>
      <c r="G38" s="84">
        <v>7.1918268584487164</v>
      </c>
      <c r="H38" s="84">
        <v>4.2544459644322847</v>
      </c>
      <c r="I38" s="120">
        <f t="shared" si="0"/>
        <v>-2.9373808940164317</v>
      </c>
      <c r="J38" s="3"/>
      <c r="K38" s="3"/>
      <c r="L38" s="3"/>
      <c r="M38" s="3"/>
      <c r="N38" s="3"/>
    </row>
    <row r="39" spans="1:14" x14ac:dyDescent="0.25">
      <c r="A39" s="59" t="s">
        <v>29</v>
      </c>
      <c r="B39" s="84">
        <v>17.485069674850699</v>
      </c>
      <c r="C39" s="84">
        <v>19.602977667493796</v>
      </c>
      <c r="D39" s="84">
        <v>8.8320743753631614</v>
      </c>
      <c r="E39" s="84">
        <v>9.9368179207352103</v>
      </c>
      <c r="F39" s="84">
        <v>7.7823288472791106</v>
      </c>
      <c r="G39" s="84">
        <v>8.1626682270333522</v>
      </c>
      <c r="H39" s="84">
        <v>4.0310970342643246</v>
      </c>
      <c r="I39" s="120">
        <f t="shared" si="0"/>
        <v>-4.1315711927690275</v>
      </c>
      <c r="J39" s="3"/>
      <c r="K39" s="3"/>
      <c r="L39" s="3"/>
      <c r="M39" s="3"/>
      <c r="N39" s="3"/>
    </row>
    <row r="40" spans="1:14" x14ac:dyDescent="0.25">
      <c r="A40" s="59" t="s">
        <v>19</v>
      </c>
      <c r="B40" s="84">
        <v>10.155440414507771</v>
      </c>
      <c r="C40" s="84">
        <v>16.921335597057158</v>
      </c>
      <c r="D40" s="84">
        <v>5.6164552284764131</v>
      </c>
      <c r="E40" s="84">
        <v>5.6880278191753595</v>
      </c>
      <c r="F40" s="84">
        <v>3.9365235576331656</v>
      </c>
      <c r="G40" s="84">
        <v>4.6740895383901648</v>
      </c>
      <c r="H40" s="84">
        <v>3.0034924330616999</v>
      </c>
      <c r="I40" s="120">
        <f t="shared" si="0"/>
        <v>-1.6705971053284649</v>
      </c>
      <c r="J40" s="3"/>
      <c r="K40" s="3"/>
      <c r="L40" s="3"/>
      <c r="M40" s="3"/>
      <c r="N40" s="3"/>
    </row>
    <row r="41" spans="1:14" x14ac:dyDescent="0.25">
      <c r="A41" s="59" t="s">
        <v>20</v>
      </c>
      <c r="B41" s="84">
        <v>13.873676524278933</v>
      </c>
      <c r="C41" s="84">
        <v>16.04317885724921</v>
      </c>
      <c r="D41" s="84">
        <v>7.088414634146341</v>
      </c>
      <c r="E41" s="84">
        <v>7.2796934865900385</v>
      </c>
      <c r="F41" s="84">
        <v>6.9444444444444446</v>
      </c>
      <c r="G41" s="84">
        <v>7.4707627858264969</v>
      </c>
      <c r="H41" s="84">
        <v>4.6016352918805854</v>
      </c>
      <c r="I41" s="120">
        <f t="shared" si="0"/>
        <v>-2.8691274939459115</v>
      </c>
      <c r="J41" s="3"/>
      <c r="K41" s="3"/>
      <c r="L41" s="3"/>
      <c r="M41" s="3"/>
      <c r="N41" s="3"/>
    </row>
    <row r="42" spans="1:14" x14ac:dyDescent="0.25">
      <c r="A42" s="59" t="s">
        <v>21</v>
      </c>
      <c r="B42" s="84">
        <v>19.332915098285238</v>
      </c>
      <c r="C42" s="84">
        <v>24.96238985600688</v>
      </c>
      <c r="D42" s="84">
        <v>7.9908151549942588</v>
      </c>
      <c r="E42" s="84">
        <v>6.865741829296967</v>
      </c>
      <c r="F42" s="84">
        <v>4.7873694932518456</v>
      </c>
      <c r="G42" s="84">
        <v>4.4537717150518832</v>
      </c>
      <c r="H42" s="84">
        <v>2.7312877731287775</v>
      </c>
      <c r="I42" s="120">
        <f t="shared" si="0"/>
        <v>-1.7224839419231057</v>
      </c>
      <c r="J42" s="3"/>
      <c r="K42" s="3"/>
      <c r="L42" s="3"/>
      <c r="M42" s="3"/>
      <c r="N42" s="3"/>
    </row>
    <row r="43" spans="1:14" x14ac:dyDescent="0.25">
      <c r="A43" s="59" t="s">
        <v>22</v>
      </c>
      <c r="B43" s="84">
        <v>14.131040522251412</v>
      </c>
      <c r="C43" s="84">
        <v>18.310077519379846</v>
      </c>
      <c r="D43" s="84">
        <v>5.823110707254278</v>
      </c>
      <c r="E43" s="84">
        <v>4.5428652805468515</v>
      </c>
      <c r="F43" s="84">
        <v>3.3734156646083848</v>
      </c>
      <c r="G43" s="84">
        <v>3.122340773712116</v>
      </c>
      <c r="H43" s="84">
        <v>1.7604208822339134</v>
      </c>
      <c r="I43" s="120">
        <f t="shared" si="0"/>
        <v>-1.3619198914782027</v>
      </c>
      <c r="J43" s="3"/>
      <c r="K43" s="3"/>
      <c r="L43" s="3"/>
      <c r="M43" s="3"/>
      <c r="N43" s="3"/>
    </row>
    <row r="44" spans="1:14" x14ac:dyDescent="0.25">
      <c r="A44" s="59" t="s">
        <v>23</v>
      </c>
      <c r="B44" s="84">
        <v>13.986804901036759</v>
      </c>
      <c r="C44" s="84">
        <v>17.791636096845195</v>
      </c>
      <c r="D44" s="84">
        <v>8.4070796460176993</v>
      </c>
      <c r="E44" s="84">
        <v>6.3251437532671195</v>
      </c>
      <c r="F44" s="84">
        <v>4.8352435530085964</v>
      </c>
      <c r="G44" s="84">
        <v>6.244503078276165</v>
      </c>
      <c r="H44" s="84">
        <v>3.049215406562054</v>
      </c>
      <c r="I44" s="120">
        <f t="shared" si="0"/>
        <v>-3.195287671714111</v>
      </c>
      <c r="J44" s="3"/>
      <c r="K44" s="3"/>
      <c r="L44" s="3"/>
      <c r="M44" s="3"/>
      <c r="N44" s="3"/>
    </row>
    <row r="45" spans="1:14" x14ac:dyDescent="0.25">
      <c r="A45" s="59" t="s">
        <v>24</v>
      </c>
      <c r="B45" s="84">
        <v>11.834584780903283</v>
      </c>
      <c r="C45" s="84">
        <v>15.059055118110237</v>
      </c>
      <c r="D45" s="84">
        <v>6.2170024781812305</v>
      </c>
      <c r="E45" s="84">
        <v>5.3531763660595288</v>
      </c>
      <c r="F45" s="84">
        <v>3.8302161496248184</v>
      </c>
      <c r="G45" s="84">
        <v>4.8007350407717926</v>
      </c>
      <c r="H45" s="84">
        <v>2.8946443220438298</v>
      </c>
      <c r="I45" s="120">
        <f t="shared" si="0"/>
        <v>-1.9060907187279628</v>
      </c>
      <c r="J45" s="3"/>
      <c r="K45" s="3"/>
      <c r="L45" s="3"/>
      <c r="M45" s="3"/>
      <c r="N45" s="3"/>
    </row>
    <row r="46" spans="1:14" x14ac:dyDescent="0.25">
      <c r="A46" s="59" t="s">
        <v>25</v>
      </c>
      <c r="B46" s="84">
        <v>24.059183017047282</v>
      </c>
      <c r="C46" s="84">
        <v>22.659780503550678</v>
      </c>
      <c r="D46" s="84">
        <v>8.1467056150600463</v>
      </c>
      <c r="E46" s="84">
        <v>16.292134831460675</v>
      </c>
      <c r="F46" s="84">
        <v>14.723320158102768</v>
      </c>
      <c r="G46" s="84">
        <v>12.426765340733889</v>
      </c>
      <c r="H46" s="84">
        <v>6.6522277227722775</v>
      </c>
      <c r="I46" s="120">
        <f t="shared" si="0"/>
        <v>-5.7745376179616112</v>
      </c>
      <c r="J46" s="3"/>
      <c r="K46" s="3"/>
      <c r="L46" s="3"/>
      <c r="M46" s="3"/>
      <c r="N46" s="3"/>
    </row>
    <row r="47" spans="1:14" x14ac:dyDescent="0.25">
      <c r="A47" s="59" t="s">
        <v>53</v>
      </c>
      <c r="B47" s="84">
        <v>13.938411669367909</v>
      </c>
      <c r="C47" s="84">
        <v>18.612576956904135</v>
      </c>
      <c r="D47" s="84">
        <v>7.0583077597544941</v>
      </c>
      <c r="E47" s="84">
        <v>5.9397448268467903</v>
      </c>
      <c r="F47" s="84">
        <v>4.6441625456890989</v>
      </c>
      <c r="G47" s="84">
        <v>6.3960504662643993</v>
      </c>
      <c r="H47" s="84">
        <v>4.0302551365996839</v>
      </c>
      <c r="I47" s="120">
        <f t="shared" si="0"/>
        <v>-2.3657953296647154</v>
      </c>
      <c r="J47" s="3"/>
      <c r="K47" s="3"/>
      <c r="L47" s="3"/>
      <c r="M47" s="3"/>
      <c r="N47" s="3"/>
    </row>
    <row r="48" spans="1:14" x14ac:dyDescent="0.25">
      <c r="A48" s="59" t="s">
        <v>26</v>
      </c>
      <c r="B48" s="84">
        <v>22.544794738035836</v>
      </c>
      <c r="C48" s="84">
        <v>21.570725444040232</v>
      </c>
      <c r="D48" s="84">
        <v>8.4183673469387745</v>
      </c>
      <c r="E48" s="84">
        <v>7.4602190535234554</v>
      </c>
      <c r="F48" s="84">
        <v>5.2600703949941341</v>
      </c>
      <c r="G48" s="84">
        <v>2.2061620387980221</v>
      </c>
      <c r="H48" s="84">
        <v>1.9988685649632285</v>
      </c>
      <c r="I48" s="120">
        <f t="shared" si="0"/>
        <v>-0.20729347383479357</v>
      </c>
      <c r="J48" s="3"/>
      <c r="K48" s="3"/>
      <c r="L48" s="3"/>
      <c r="M48" s="3"/>
      <c r="N48" s="3"/>
    </row>
    <row r="49" spans="1:14" x14ac:dyDescent="0.25">
      <c r="A49" s="59" t="s">
        <v>27</v>
      </c>
      <c r="B49" s="84">
        <v>21.428571428571427</v>
      </c>
      <c r="C49" s="84">
        <v>30.926662876634452</v>
      </c>
      <c r="D49" s="84">
        <v>13.046044864226683</v>
      </c>
      <c r="E49" s="84">
        <v>12.449098312972659</v>
      </c>
      <c r="F49" s="84">
        <v>11.180124223602485</v>
      </c>
      <c r="G49" s="84">
        <v>9.536082474226804</v>
      </c>
      <c r="H49" s="84">
        <v>4.876462938881664</v>
      </c>
      <c r="I49" s="120">
        <f t="shared" si="0"/>
        <v>-4.65961953534514</v>
      </c>
      <c r="J49" s="3"/>
      <c r="K49" s="3"/>
      <c r="L49" s="3"/>
      <c r="M49" s="3"/>
      <c r="N49" s="3"/>
    </row>
    <row r="50" spans="1:14" x14ac:dyDescent="0.25">
      <c r="A50" s="57" t="s">
        <v>50</v>
      </c>
      <c r="B50" s="89">
        <v>15.143882751918767</v>
      </c>
      <c r="C50" s="89">
        <v>10.451114124385258</v>
      </c>
      <c r="D50" s="89">
        <v>4.6585987776743432</v>
      </c>
      <c r="E50" s="89">
        <v>4.8630904409018534</v>
      </c>
      <c r="F50" s="89">
        <v>5.3033725521007247</v>
      </c>
      <c r="G50" s="89">
        <v>6.2677893738140424</v>
      </c>
      <c r="H50" s="89">
        <v>1.7761954013843582</v>
      </c>
      <c r="I50" s="121">
        <f t="shared" si="0"/>
        <v>-4.4915939724296843</v>
      </c>
      <c r="J50" s="3"/>
      <c r="K50" s="3"/>
      <c r="L50" s="3"/>
      <c r="M50" s="3"/>
      <c r="N50" s="3"/>
    </row>
    <row r="51" spans="1:14" x14ac:dyDescent="0.25">
      <c r="A51" s="59" t="s">
        <v>32</v>
      </c>
      <c r="B51" s="84">
        <v>15.744281363771668</v>
      </c>
      <c r="C51" s="84">
        <v>9.1805270042982627</v>
      </c>
      <c r="D51" s="84">
        <v>3.2599629286376275</v>
      </c>
      <c r="E51" s="84">
        <v>3.8185407879386157</v>
      </c>
      <c r="F51" s="84">
        <v>4.185754064492949</v>
      </c>
      <c r="G51" s="84">
        <v>5.3401791368859133</v>
      </c>
      <c r="H51" s="84">
        <v>0.84916555331627452</v>
      </c>
      <c r="I51" s="120">
        <f t="shared" si="0"/>
        <v>-4.4910135835696385</v>
      </c>
      <c r="J51" s="3"/>
      <c r="K51" s="3"/>
      <c r="L51" s="3"/>
      <c r="M51" s="3"/>
      <c r="N51" s="3"/>
    </row>
    <row r="52" spans="1:14" x14ac:dyDescent="0.25">
      <c r="A52" s="59" t="s">
        <v>28</v>
      </c>
      <c r="B52" s="84">
        <v>11.25925925925926</v>
      </c>
      <c r="C52" s="84">
        <v>18.68847493563532</v>
      </c>
      <c r="D52" s="84">
        <v>14.310841061720501</v>
      </c>
      <c r="E52" s="84">
        <v>12.252023488335185</v>
      </c>
      <c r="F52" s="84">
        <v>13.105502429847938</v>
      </c>
      <c r="G52" s="84">
        <v>12.695924764890282</v>
      </c>
      <c r="H52" s="84">
        <v>8.4709730171708912</v>
      </c>
      <c r="I52" s="120">
        <f t="shared" si="0"/>
        <v>-4.2249517477193912</v>
      </c>
      <c r="J52" s="3"/>
      <c r="K52" s="3"/>
      <c r="L52" s="3"/>
      <c r="M52" s="3"/>
      <c r="N52" s="3"/>
    </row>
    <row r="53" spans="1:14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4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4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4" hidden="1" x14ac:dyDescent="0.25">
      <c r="A56" s="57" t="s">
        <v>37</v>
      </c>
      <c r="B56" s="84">
        <v>16.412297873040419</v>
      </c>
      <c r="C56" s="84">
        <v>17.919753249149817</v>
      </c>
      <c r="D56" s="84">
        <v>6.2766983373708785</v>
      </c>
      <c r="E56" s="84">
        <v>5.857243010555421</v>
      </c>
      <c r="F56" s="84">
        <v>4.7148456909402086</v>
      </c>
      <c r="G56" s="84">
        <v>5.4205044000307874</v>
      </c>
      <c r="H56" s="84">
        <v>3.3164533114185395</v>
      </c>
      <c r="I56" s="84">
        <f t="shared" si="0"/>
        <v>-2.1040510886122479</v>
      </c>
    </row>
    <row r="57" spans="1:14" ht="9" customHeight="1" x14ac:dyDescent="0.25">
      <c r="A57" s="4"/>
      <c r="B57" s="4"/>
      <c r="C57" s="4"/>
      <c r="D57" s="4"/>
      <c r="E57" s="4"/>
      <c r="F57" s="4"/>
      <c r="G57" s="4"/>
      <c r="H57" s="4"/>
    </row>
    <row r="58" spans="1:14" ht="24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211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162" t="s">
        <v>223</v>
      </c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33">
        <f>$B$56</f>
        <v>10.831551564393129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33">
        <f>$C$56</f>
        <v>10.481262736158602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33">
        <f>$D$56</f>
        <v>10.38479540214062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33">
        <f>$E$56</f>
        <v>10.505076229479988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33">
        <f>$F$56</f>
        <v>9.6645114717052198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33">
        <f>$G$56</f>
        <v>9.7867612441542953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33">
        <f>$H$56</f>
        <v>9.6625655189730395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133">
        <f>B14-B13</f>
        <v>-0.12419572518125577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197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10.329272764310451</v>
      </c>
      <c r="C19" s="84">
        <v>9.9895014155394772</v>
      </c>
      <c r="D19" s="84">
        <v>9.9730060864753778</v>
      </c>
      <c r="E19" s="84">
        <v>10.053474033673227</v>
      </c>
      <c r="F19" s="84">
        <v>9.339365529270685</v>
      </c>
      <c r="G19" s="84">
        <v>9.492496093608052</v>
      </c>
      <c r="H19" s="84">
        <v>9.3601875068134746</v>
      </c>
      <c r="I19" s="134">
        <f>H19-G19</f>
        <v>-0.13230858679457747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12.099255583126551</v>
      </c>
      <c r="C20" s="84">
        <v>10.712018140589569</v>
      </c>
      <c r="D20" s="84">
        <v>10.425720620842572</v>
      </c>
      <c r="E20" s="84">
        <v>10.341463414634147</v>
      </c>
      <c r="F20" s="84">
        <v>10.787878787878787</v>
      </c>
      <c r="G20" s="84">
        <v>10.867132867132867</v>
      </c>
      <c r="H20" s="84">
        <v>10.934731934731936</v>
      </c>
      <c r="I20" s="135">
        <f t="shared" ref="I20:I56" si="0">H20-G20</f>
        <v>6.7599067599068974E-2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12.022988505747126</v>
      </c>
      <c r="C21" s="84">
        <v>11.096638655462185</v>
      </c>
      <c r="D21" s="84">
        <v>12.861244019138756</v>
      </c>
      <c r="E21" s="84">
        <v>13.167464114832535</v>
      </c>
      <c r="F21" s="84">
        <v>10.801068090787718</v>
      </c>
      <c r="G21" s="84">
        <v>11.013351134846461</v>
      </c>
      <c r="H21" s="84">
        <v>11.297730307076101</v>
      </c>
      <c r="I21" s="135">
        <f t="shared" si="0"/>
        <v>0.28437917222963982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8.7649769585253452</v>
      </c>
      <c r="C22" s="84">
        <v>10.137931034482758</v>
      </c>
      <c r="D22" s="84">
        <v>9.0414746543778808</v>
      </c>
      <c r="E22" s="84">
        <v>8.6405529953917046</v>
      </c>
      <c r="F22" s="84">
        <v>8.654377880184331</v>
      </c>
      <c r="G22" s="84">
        <v>7.6682027649769582</v>
      </c>
      <c r="H22" s="84">
        <v>7.8202764976958523</v>
      </c>
      <c r="I22" s="135">
        <f t="shared" si="0"/>
        <v>0.15207373271889413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7.0606060606060606</v>
      </c>
      <c r="C23" s="84">
        <v>6.8928571428571432</v>
      </c>
      <c r="D23" s="84">
        <v>6.167202572347267</v>
      </c>
      <c r="E23" s="84">
        <v>6.077170418006431</v>
      </c>
      <c r="F23" s="84">
        <v>5.5438066465256801</v>
      </c>
      <c r="G23" s="84">
        <v>5.4652567975830815</v>
      </c>
      <c r="H23" s="84">
        <v>5.7280966767371604</v>
      </c>
      <c r="I23" s="135">
        <f t="shared" si="0"/>
        <v>0.26283987915407891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11.606606606606606</v>
      </c>
      <c r="C24" s="84">
        <v>14.186379928315413</v>
      </c>
      <c r="D24" s="84">
        <v>11.135493372606774</v>
      </c>
      <c r="E24" s="84">
        <v>10.945508100147276</v>
      </c>
      <c r="F24" s="84">
        <v>10.578431372549019</v>
      </c>
      <c r="G24" s="84">
        <v>10.375350140056023</v>
      </c>
      <c r="H24" s="84">
        <v>9.8207282913165272</v>
      </c>
      <c r="I24" s="135">
        <f t="shared" si="0"/>
        <v>-0.5546218487394956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10.603926096997691</v>
      </c>
      <c r="C25" s="84">
        <v>10.598130841121495</v>
      </c>
      <c r="D25" s="84">
        <v>10.608505997818975</v>
      </c>
      <c r="E25" s="84">
        <v>10.591057797164668</v>
      </c>
      <c r="F25" s="84">
        <v>9.2522889114954214</v>
      </c>
      <c r="G25" s="84">
        <v>9.3621566632756874</v>
      </c>
      <c r="H25" s="84">
        <v>8.7212614445574772</v>
      </c>
      <c r="I25" s="135">
        <f t="shared" si="0"/>
        <v>-0.6408952187182102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10.42764857881137</v>
      </c>
      <c r="C26" s="84">
        <v>8.3679745493107109</v>
      </c>
      <c r="D26" s="84">
        <v>9.3593380614657207</v>
      </c>
      <c r="E26" s="84">
        <v>10.548463356973995</v>
      </c>
      <c r="F26" s="84">
        <v>8.201577563540754</v>
      </c>
      <c r="G26" s="84">
        <v>8.8220858895705518</v>
      </c>
      <c r="H26" s="84">
        <v>9.1130587204206837</v>
      </c>
      <c r="I26" s="135">
        <f t="shared" si="0"/>
        <v>0.29097283085013181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7.224806201550388</v>
      </c>
      <c r="C27" s="84">
        <v>6.515570934256055</v>
      </c>
      <c r="D27" s="84">
        <v>6.0894568690095845</v>
      </c>
      <c r="E27" s="84">
        <v>6.0830670926517572</v>
      </c>
      <c r="F27" s="84">
        <v>6.2062499999999998</v>
      </c>
      <c r="G27" s="84">
        <v>5.8312499999999998</v>
      </c>
      <c r="H27" s="84">
        <v>5.9093749999999998</v>
      </c>
      <c r="I27" s="135">
        <f t="shared" si="0"/>
        <v>7.8125E-2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9.3937007874015741</v>
      </c>
      <c r="C28" s="84">
        <v>9.8489795918367342</v>
      </c>
      <c r="D28" s="84">
        <v>10.012096774193548</v>
      </c>
      <c r="E28" s="84">
        <v>9.42741935483871</v>
      </c>
      <c r="F28" s="84">
        <v>8.2384615384615376</v>
      </c>
      <c r="G28" s="84">
        <v>7.95</v>
      </c>
      <c r="H28" s="84">
        <v>7.4230769230769234</v>
      </c>
      <c r="I28" s="135">
        <f t="shared" si="0"/>
        <v>-0.52692307692307683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9.2999440402909901</v>
      </c>
      <c r="C29" s="84">
        <v>9.2044310171198394</v>
      </c>
      <c r="D29" s="84">
        <v>9.0520673813169985</v>
      </c>
      <c r="E29" s="84">
        <v>8.9280245022970899</v>
      </c>
      <c r="F29" s="84">
        <v>7.8948331047096483</v>
      </c>
      <c r="G29" s="84">
        <v>8.2610882487425705</v>
      </c>
      <c r="H29" s="84">
        <v>8.2908093278463646</v>
      </c>
      <c r="I29" s="135">
        <f t="shared" si="0"/>
        <v>2.9721079103794068E-2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13.844793713163066</v>
      </c>
      <c r="C30" s="84">
        <v>11.506578947368421</v>
      </c>
      <c r="D30" s="84">
        <v>12.171480144404333</v>
      </c>
      <c r="E30" s="84">
        <v>11.935018050541517</v>
      </c>
      <c r="F30" s="84">
        <v>8.7482614742698193</v>
      </c>
      <c r="G30" s="84">
        <v>8.5563282336578581</v>
      </c>
      <c r="H30" s="84">
        <v>8.5312934631432551</v>
      </c>
      <c r="I30" s="135">
        <f t="shared" si="0"/>
        <v>-2.5034770514603011E-2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10.63400576368876</v>
      </c>
      <c r="C31" s="84">
        <v>9.7128712871287135</v>
      </c>
      <c r="D31" s="84">
        <v>8.4289156626506028</v>
      </c>
      <c r="E31" s="84">
        <v>8.9469879518072286</v>
      </c>
      <c r="F31" s="84">
        <v>8.6799065420560755</v>
      </c>
      <c r="G31" s="84">
        <v>8.5233644859813076</v>
      </c>
      <c r="H31" s="84">
        <v>8.2219626168224291</v>
      </c>
      <c r="I31" s="135">
        <f t="shared" si="0"/>
        <v>-0.30140186915887845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8.1604872881355934</v>
      </c>
      <c r="C32" s="84">
        <v>7.083333333333333</v>
      </c>
      <c r="D32" s="84">
        <v>6.9480580252690691</v>
      </c>
      <c r="E32" s="84">
        <v>6.838558727187646</v>
      </c>
      <c r="F32" s="84">
        <v>7.0595009596928984</v>
      </c>
      <c r="G32" s="84">
        <v>7.1285988483685223</v>
      </c>
      <c r="H32" s="84">
        <v>6.8814779270633402</v>
      </c>
      <c r="I32" s="135">
        <f t="shared" si="0"/>
        <v>-0.24712092130518215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12.066316316316316</v>
      </c>
      <c r="C33" s="84">
        <v>11.684223480187054</v>
      </c>
      <c r="D33" s="84">
        <v>11.896586856851757</v>
      </c>
      <c r="E33" s="84">
        <v>12.117677024961793</v>
      </c>
      <c r="F33" s="84">
        <v>10.86029246344207</v>
      </c>
      <c r="G33" s="84">
        <v>10.931608548931383</v>
      </c>
      <c r="H33" s="84">
        <v>10.782002249718785</v>
      </c>
      <c r="I33" s="135">
        <f t="shared" si="0"/>
        <v>-0.14960629921259816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13.077659574468084</v>
      </c>
      <c r="C34" s="84">
        <v>11.180871212121213</v>
      </c>
      <c r="D34" s="84">
        <v>10.685269899359561</v>
      </c>
      <c r="E34" s="84">
        <v>10.230558096980786</v>
      </c>
      <c r="F34" s="84">
        <v>9.2906976744186043</v>
      </c>
      <c r="G34" s="84">
        <v>9.2865448504983394</v>
      </c>
      <c r="H34" s="84">
        <v>9.2084717607973428</v>
      </c>
      <c r="I34" s="135">
        <f t="shared" si="0"/>
        <v>-7.807308970099669E-2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9.7320388349514566</v>
      </c>
      <c r="C35" s="84">
        <v>8.3357015985790408</v>
      </c>
      <c r="D35" s="84">
        <v>8.0861486486486491</v>
      </c>
      <c r="E35" s="84">
        <v>7.7685810810810807</v>
      </c>
      <c r="F35" s="84">
        <v>8.8703007518797001</v>
      </c>
      <c r="G35" s="84">
        <v>8.8289473684210531</v>
      </c>
      <c r="H35" s="84">
        <v>8.7218045112781954</v>
      </c>
      <c r="I35" s="135">
        <f t="shared" si="0"/>
        <v>-0.10714285714285765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9.1107784431137731</v>
      </c>
      <c r="C36" s="84">
        <v>7.2655502392344502</v>
      </c>
      <c r="D36" s="84">
        <v>7.2706766917293235</v>
      </c>
      <c r="E36" s="84">
        <v>7.5664160401002505</v>
      </c>
      <c r="F36" s="84">
        <v>8.8504155124653732</v>
      </c>
      <c r="G36" s="84">
        <v>8.4903047091412738</v>
      </c>
      <c r="H36" s="84">
        <v>7.7396121883656512</v>
      </c>
      <c r="I36" s="135">
        <f t="shared" si="0"/>
        <v>-0.75069252077562254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8.9742747673782155</v>
      </c>
      <c r="C37" s="84">
        <v>10.094539048737522</v>
      </c>
      <c r="D37" s="84">
        <v>10.248558246828143</v>
      </c>
      <c r="E37" s="84">
        <v>10.765282583621683</v>
      </c>
      <c r="F37" s="84">
        <v>12.954809554551323</v>
      </c>
      <c r="G37" s="84">
        <v>13.783731439638476</v>
      </c>
      <c r="H37" s="84">
        <v>13.767591994835378</v>
      </c>
      <c r="I37" s="135">
        <f t="shared" si="0"/>
        <v>-1.6139444803098257E-2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7.2840579710144926</v>
      </c>
      <c r="C38" s="84">
        <v>8.3165714285714287</v>
      </c>
      <c r="D38" s="84">
        <v>7.984409799554566</v>
      </c>
      <c r="E38" s="84">
        <v>7.937639198218263</v>
      </c>
      <c r="F38" s="84">
        <v>7.2238805970149258</v>
      </c>
      <c r="G38" s="84">
        <v>7.4019900497512436</v>
      </c>
      <c r="H38" s="84">
        <v>7.2736318407960203</v>
      </c>
      <c r="I38" s="135">
        <f t="shared" si="0"/>
        <v>-0.12835820895522332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10.650176678445229</v>
      </c>
      <c r="C39" s="84">
        <v>9.1073446327683616</v>
      </c>
      <c r="D39" s="84">
        <v>9.6414565826330527</v>
      </c>
      <c r="E39" s="84">
        <v>9.753501400560225</v>
      </c>
      <c r="F39" s="84">
        <v>7.6124721603563472</v>
      </c>
      <c r="G39" s="84">
        <v>7.6124721603563472</v>
      </c>
      <c r="H39" s="84">
        <v>7.7349665924276172</v>
      </c>
      <c r="I39" s="135">
        <f t="shared" si="0"/>
        <v>0.12249443207126998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12.336647727272727</v>
      </c>
      <c r="C40" s="84">
        <v>10.34543325526932</v>
      </c>
      <c r="D40" s="84">
        <v>10.81091877496671</v>
      </c>
      <c r="E40" s="84">
        <v>10.721704394141145</v>
      </c>
      <c r="F40" s="84">
        <v>10.543450064850843</v>
      </c>
      <c r="G40" s="84">
        <v>11.182879377431906</v>
      </c>
      <c r="H40" s="84">
        <v>11.141374837872892</v>
      </c>
      <c r="I40" s="135">
        <f t="shared" si="0"/>
        <v>-4.150453955901412E-2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12.310112359550562</v>
      </c>
      <c r="C41" s="84">
        <v>13.5</v>
      </c>
      <c r="D41" s="84">
        <v>14.86685552407932</v>
      </c>
      <c r="E41" s="84">
        <v>14.787535410764873</v>
      </c>
      <c r="F41" s="84">
        <v>12.646370023419204</v>
      </c>
      <c r="G41" s="84">
        <v>13.416861826697891</v>
      </c>
      <c r="H41" s="84">
        <v>12.31615925058548</v>
      </c>
      <c r="I41" s="135">
        <f t="shared" si="0"/>
        <v>-1.1007025761124112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9.9937304075235112</v>
      </c>
      <c r="C42" s="84">
        <v>9.4381338742393517</v>
      </c>
      <c r="D42" s="84">
        <v>9.2561105207226362</v>
      </c>
      <c r="E42" s="84">
        <v>9.0393198724760886</v>
      </c>
      <c r="F42" s="84">
        <v>7.0313339301700983</v>
      </c>
      <c r="G42" s="84">
        <v>7.6786034019695615</v>
      </c>
      <c r="H42" s="84">
        <v>7.7027752909579226</v>
      </c>
      <c r="I42" s="135">
        <f t="shared" si="0"/>
        <v>2.417188898836109E-2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13.070759625390219</v>
      </c>
      <c r="C43" s="84">
        <v>12.990936555891238</v>
      </c>
      <c r="D43" s="84">
        <v>12.959764474975467</v>
      </c>
      <c r="E43" s="84">
        <v>13.782139352306183</v>
      </c>
      <c r="F43" s="84">
        <v>17.952158693115518</v>
      </c>
      <c r="G43" s="84">
        <v>17.826137689614935</v>
      </c>
      <c r="H43" s="84">
        <v>17.299883313885648</v>
      </c>
      <c r="I43" s="135">
        <f t="shared" si="0"/>
        <v>-0.52625437572928746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13.672680412371134</v>
      </c>
      <c r="C44" s="84">
        <v>13.169082125603865</v>
      </c>
      <c r="D44" s="84">
        <v>11.368209255533198</v>
      </c>
      <c r="E44" s="84">
        <v>11.54728370221328</v>
      </c>
      <c r="F44" s="84">
        <v>11.537190082644628</v>
      </c>
      <c r="G44" s="84">
        <v>11.745867768595041</v>
      </c>
      <c r="H44" s="84">
        <v>11.586776859504132</v>
      </c>
      <c r="I44" s="135">
        <f t="shared" si="0"/>
        <v>-0.15909090909090828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9.3141962421711906</v>
      </c>
      <c r="C45" s="84">
        <v>9.738019169329073</v>
      </c>
      <c r="D45" s="84">
        <v>9.7183246073298424</v>
      </c>
      <c r="E45" s="84">
        <v>9.4282722513089006</v>
      </c>
      <c r="F45" s="84">
        <v>8.290622098421542</v>
      </c>
      <c r="G45" s="84">
        <v>8.0844939647168061</v>
      </c>
      <c r="H45" s="84">
        <v>7.9229340761374187</v>
      </c>
      <c r="I45" s="135">
        <f t="shared" si="0"/>
        <v>-0.16155988857938741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7.7531172069825436</v>
      </c>
      <c r="C46" s="84">
        <v>8.6536312849162016</v>
      </c>
      <c r="D46" s="84">
        <v>8.2822580645161299</v>
      </c>
      <c r="E46" s="84">
        <v>7.655913978494624</v>
      </c>
      <c r="F46" s="84">
        <v>6.6725274725274728</v>
      </c>
      <c r="G46" s="84">
        <v>7.1274725274725279</v>
      </c>
      <c r="H46" s="84">
        <v>7.1032967032967029</v>
      </c>
      <c r="I46" s="135">
        <f t="shared" si="0"/>
        <v>-2.4175824175824978E-2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6.8555555555555552</v>
      </c>
      <c r="C47" s="84">
        <v>6.9861751152073737</v>
      </c>
      <c r="D47" s="84">
        <v>7.4971240755957274</v>
      </c>
      <c r="E47" s="84">
        <v>7.6639276910435497</v>
      </c>
      <c r="F47" s="84">
        <v>6.0285158781594292</v>
      </c>
      <c r="G47" s="84">
        <v>5.9073233959818534</v>
      </c>
      <c r="H47" s="84">
        <v>5.740764744005185</v>
      </c>
      <c r="I47" s="135">
        <f t="shared" si="0"/>
        <v>-0.16655865197666841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12.013623978201634</v>
      </c>
      <c r="C48" s="84">
        <v>11.982051282051282</v>
      </c>
      <c r="D48" s="84">
        <v>13.066666666666666</v>
      </c>
      <c r="E48" s="84">
        <v>13.441666666666666</v>
      </c>
      <c r="F48" s="84">
        <v>10.566115702479339</v>
      </c>
      <c r="G48" s="84">
        <v>10.863636363636363</v>
      </c>
      <c r="H48" s="84">
        <v>10.956611570247935</v>
      </c>
      <c r="I48" s="135">
        <f t="shared" si="0"/>
        <v>9.2975206611571437E-2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11.109677419354838</v>
      </c>
      <c r="C49" s="84">
        <v>10.791411042944786</v>
      </c>
      <c r="D49" s="84">
        <v>10.329268292682928</v>
      </c>
      <c r="E49" s="84">
        <v>10.481707317073171</v>
      </c>
      <c r="F49" s="84">
        <v>8.1725888324873104</v>
      </c>
      <c r="G49" s="84">
        <v>7.8781725888324869</v>
      </c>
      <c r="H49" s="84">
        <v>7.8071065989847712</v>
      </c>
      <c r="I49" s="135">
        <f t="shared" si="0"/>
        <v>-7.1065989847715727E-2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14.33693488768837</v>
      </c>
      <c r="C50" s="89">
        <v>14.033229196251066</v>
      </c>
      <c r="D50" s="89">
        <v>13.159520639147804</v>
      </c>
      <c r="E50" s="89">
        <v>13.548069241011984</v>
      </c>
      <c r="F50" s="89">
        <v>11.72524182404422</v>
      </c>
      <c r="G50" s="89">
        <v>11.651773376324275</v>
      </c>
      <c r="H50" s="89">
        <v>11.578995854444956</v>
      </c>
      <c r="I50" s="136">
        <f t="shared" si="0"/>
        <v>-7.2777521879318741E-2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14.286228328426562</v>
      </c>
      <c r="C51" s="84">
        <v>13.804579168010319</v>
      </c>
      <c r="D51" s="84">
        <v>13.382945736434108</v>
      </c>
      <c r="E51" s="84">
        <v>13.82077519379845</v>
      </c>
      <c r="F51" s="84">
        <v>12.019433198380566</v>
      </c>
      <c r="G51" s="84">
        <v>11.933063427800271</v>
      </c>
      <c r="H51" s="84">
        <v>11.919298245614035</v>
      </c>
      <c r="I51" s="135">
        <f t="shared" si="0"/>
        <v>-1.3765182186235236E-2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14.673913043478262</v>
      </c>
      <c r="C52" s="84">
        <v>15.721428571428572</v>
      </c>
      <c r="D52" s="84">
        <v>11.8</v>
      </c>
      <c r="E52" s="84">
        <v>11.888679245283019</v>
      </c>
      <c r="F52" s="84">
        <v>10.014128728414443</v>
      </c>
      <c r="G52" s="84">
        <v>10.015698587127158</v>
      </c>
      <c r="H52" s="84">
        <v>9.599686028257457</v>
      </c>
      <c r="I52" s="135">
        <f t="shared" si="0"/>
        <v>-0.41601255886970101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83">
        <f t="shared" si="0"/>
        <v>0</v>
      </c>
    </row>
    <row r="54" spans="1:15" hidden="1" x14ac:dyDescent="0.25">
      <c r="A54" s="57" t="s">
        <v>134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3">
        <f t="shared" si="0"/>
        <v>0</v>
      </c>
    </row>
    <row r="55" spans="1:15" hidden="1" x14ac:dyDescent="0.25">
      <c r="A55" s="59" t="s">
        <v>40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84">
        <f t="shared" si="0"/>
        <v>0</v>
      </c>
    </row>
    <row r="56" spans="1:15" hidden="1" x14ac:dyDescent="0.25">
      <c r="A56" s="57" t="s">
        <v>37</v>
      </c>
      <c r="B56" s="58">
        <v>10.831551564393129</v>
      </c>
      <c r="C56" s="58">
        <v>10.481262736158602</v>
      </c>
      <c r="D56" s="58">
        <v>10.38479540214062</v>
      </c>
      <c r="E56" s="58">
        <v>10.505076229479988</v>
      </c>
      <c r="F56" s="58">
        <v>9.6645114717052198</v>
      </c>
      <c r="G56" s="58">
        <v>9.7867612441542953</v>
      </c>
      <c r="H56" s="58">
        <v>9.6625655189730395</v>
      </c>
      <c r="I56" s="84">
        <f t="shared" si="0"/>
        <v>-0.12419572518125577</v>
      </c>
    </row>
    <row r="57" spans="1:15" ht="8.1" customHeight="1" x14ac:dyDescent="0.25"/>
    <row r="58" spans="1:15" ht="24" customHeight="1" x14ac:dyDescent="0.25">
      <c r="A58" s="99" t="s">
        <v>202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210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162" t="s">
        <v>223</v>
      </c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33">
        <f>$B$56</f>
        <v>1.6325742956387495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33">
        <f>$C$56</f>
        <v>1.1191616766467065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33">
        <f>$D$56</f>
        <v>1.244846389147493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33">
        <f>$E$56</f>
        <v>1.244846389147493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33">
        <f>$F$56</f>
        <v>1.2307692307692308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33">
        <f>$G$56</f>
        <v>1.2307692307692308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33">
        <f>$H$56</f>
        <v>1.2307692307692308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133">
        <f>B14-B13</f>
        <v>0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198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1.5956670467502851</v>
      </c>
      <c r="C19" s="84">
        <v>1.0875524475524476</v>
      </c>
      <c r="D19" s="84">
        <v>1.2038009888751544</v>
      </c>
      <c r="E19" s="84">
        <v>1.2038009888751544</v>
      </c>
      <c r="F19" s="84">
        <v>1.1976940814757879</v>
      </c>
      <c r="G19" s="84">
        <v>1.1976940814757879</v>
      </c>
      <c r="H19" s="84">
        <v>1.1976940814757879</v>
      </c>
      <c r="I19" s="134">
        <f>H19-G19</f>
        <v>0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1.8225806451612903</v>
      </c>
      <c r="C20" s="84">
        <v>1.1496062992125984</v>
      </c>
      <c r="D20" s="84">
        <v>1.3773584905660377</v>
      </c>
      <c r="E20" s="84">
        <v>1.3773584905660377</v>
      </c>
      <c r="F20" s="84">
        <v>1.1679999999999999</v>
      </c>
      <c r="G20" s="84">
        <v>1.1679999999999999</v>
      </c>
      <c r="H20" s="84">
        <v>1.1679999999999999</v>
      </c>
      <c r="I20" s="135">
        <f t="shared" ref="I20:I56" si="0">H20-G20</f>
        <v>0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1.4962406015037595</v>
      </c>
      <c r="C21" s="84">
        <v>1.0913978494623655</v>
      </c>
      <c r="D21" s="84">
        <v>1.7964601769911503</v>
      </c>
      <c r="E21" s="84">
        <v>1.7964601769911503</v>
      </c>
      <c r="F21" s="84">
        <v>1.3012820512820513</v>
      </c>
      <c r="G21" s="84">
        <v>1.3012820512820513</v>
      </c>
      <c r="H21" s="84">
        <v>1.3012820512820513</v>
      </c>
      <c r="I21" s="135">
        <f t="shared" si="0"/>
        <v>0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1.6944444444444444</v>
      </c>
      <c r="C22" s="84">
        <v>0.85507246376811596</v>
      </c>
      <c r="D22" s="84">
        <v>1.2826086956521738</v>
      </c>
      <c r="E22" s="84">
        <v>1.2826086956521738</v>
      </c>
      <c r="F22" s="84">
        <v>1.3720930232558139</v>
      </c>
      <c r="G22" s="84">
        <v>1.3720930232558139</v>
      </c>
      <c r="H22" s="84">
        <v>1.3720930232558139</v>
      </c>
      <c r="I22" s="135">
        <f t="shared" si="0"/>
        <v>0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2.4137931034482758</v>
      </c>
      <c r="C23" s="84">
        <v>1.0142857142857142</v>
      </c>
      <c r="D23" s="84">
        <v>1.126984126984127</v>
      </c>
      <c r="E23" s="84">
        <v>1.126984126984127</v>
      </c>
      <c r="F23" s="84">
        <v>0.92207792207792205</v>
      </c>
      <c r="G23" s="84">
        <v>0.92207792207792205</v>
      </c>
      <c r="H23" s="84">
        <v>0.92207792207792205</v>
      </c>
      <c r="I23" s="135">
        <f t="shared" si="0"/>
        <v>0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2.2395833333333335</v>
      </c>
      <c r="C24" s="84">
        <v>1.17</v>
      </c>
      <c r="D24" s="84">
        <v>1.7593984962406015</v>
      </c>
      <c r="E24" s="84">
        <v>1.7593984962406015</v>
      </c>
      <c r="F24" s="84">
        <v>1.1878172588832487</v>
      </c>
      <c r="G24" s="84">
        <v>1.1878172588832487</v>
      </c>
      <c r="H24" s="84">
        <v>1.1878172588832487</v>
      </c>
      <c r="I24" s="135">
        <f t="shared" si="0"/>
        <v>0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1.4276315789473684</v>
      </c>
      <c r="C25" s="84">
        <v>1.56</v>
      </c>
      <c r="D25" s="84">
        <v>1.3</v>
      </c>
      <c r="E25" s="84">
        <v>1.3</v>
      </c>
      <c r="F25" s="84">
        <v>1.4181818181818182</v>
      </c>
      <c r="G25" s="84">
        <v>1.4181818181818182</v>
      </c>
      <c r="H25" s="84">
        <v>1.4181818181818182</v>
      </c>
      <c r="I25" s="135">
        <f t="shared" si="0"/>
        <v>0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1.8429752066115703</v>
      </c>
      <c r="C26" s="84">
        <v>1.2446808510638299</v>
      </c>
      <c r="D26" s="84">
        <v>1.625</v>
      </c>
      <c r="E26" s="84">
        <v>1.625</v>
      </c>
      <c r="F26" s="84">
        <v>1.3928571428571428</v>
      </c>
      <c r="G26" s="84">
        <v>1.3928571428571428</v>
      </c>
      <c r="H26" s="84">
        <v>1.3928571428571428</v>
      </c>
      <c r="I26" s="135">
        <f t="shared" si="0"/>
        <v>0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1.3409090909090908</v>
      </c>
      <c r="C27" s="84">
        <v>0.88043478260869568</v>
      </c>
      <c r="D27" s="84">
        <v>0.92045454545454541</v>
      </c>
      <c r="E27" s="84">
        <v>0.92045454545454541</v>
      </c>
      <c r="F27" s="84">
        <v>0.81</v>
      </c>
      <c r="G27" s="84">
        <v>0.81</v>
      </c>
      <c r="H27" s="84">
        <v>0.81</v>
      </c>
      <c r="I27" s="135">
        <f t="shared" si="0"/>
        <v>0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1.631578947368421</v>
      </c>
      <c r="C28" s="84">
        <v>0.7289719626168224</v>
      </c>
      <c r="D28" s="84">
        <v>0.79591836734693877</v>
      </c>
      <c r="E28" s="84">
        <v>0.79591836734693877</v>
      </c>
      <c r="F28" s="84">
        <v>1.0263157894736843</v>
      </c>
      <c r="G28" s="84">
        <v>1.0263157894736843</v>
      </c>
      <c r="H28" s="84">
        <v>1.0263157894736843</v>
      </c>
      <c r="I28" s="135">
        <f t="shared" si="0"/>
        <v>0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1.669603524229075</v>
      </c>
      <c r="C29" s="84">
        <v>0.94080338266384778</v>
      </c>
      <c r="D29" s="84">
        <v>0.90631364562118122</v>
      </c>
      <c r="E29" s="84">
        <v>0.90631364562118122</v>
      </c>
      <c r="F29" s="84">
        <v>0.90080971659919029</v>
      </c>
      <c r="G29" s="84">
        <v>0.90080971659919029</v>
      </c>
      <c r="H29" s="84">
        <v>0.90080971659919029</v>
      </c>
      <c r="I29" s="135">
        <f t="shared" si="0"/>
        <v>0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1.6402877697841727</v>
      </c>
      <c r="C30" s="84">
        <v>1</v>
      </c>
      <c r="D30" s="84">
        <v>1.0357142857142858</v>
      </c>
      <c r="E30" s="84">
        <v>1.0357142857142858</v>
      </c>
      <c r="F30" s="84">
        <v>1.2960893854748603</v>
      </c>
      <c r="G30" s="84">
        <v>1.2960893854748603</v>
      </c>
      <c r="H30" s="84">
        <v>1.2960893854748603</v>
      </c>
      <c r="I30" s="135">
        <f t="shared" si="0"/>
        <v>0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3.6052631578947367</v>
      </c>
      <c r="C31" s="84">
        <v>1.9310344827586208</v>
      </c>
      <c r="D31" s="84">
        <v>1.6633663366336633</v>
      </c>
      <c r="E31" s="84">
        <v>1.6633663366336633</v>
      </c>
      <c r="F31" s="84">
        <v>1.5</v>
      </c>
      <c r="G31" s="84">
        <v>1.5</v>
      </c>
      <c r="H31" s="84">
        <v>1.5</v>
      </c>
      <c r="I31" s="135">
        <f t="shared" si="0"/>
        <v>0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1.7022058823529411</v>
      </c>
      <c r="C32" s="84">
        <v>1.1919431279620853</v>
      </c>
      <c r="D32" s="84">
        <v>1.1697674418604651</v>
      </c>
      <c r="E32" s="84">
        <v>1.1697674418604651</v>
      </c>
      <c r="F32" s="84">
        <v>1.2238442822384428</v>
      </c>
      <c r="G32" s="84">
        <v>1.2238442822384428</v>
      </c>
      <c r="H32" s="84">
        <v>1.2238442822384428</v>
      </c>
      <c r="I32" s="135">
        <f t="shared" si="0"/>
        <v>0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1.4488448844884489</v>
      </c>
      <c r="C33" s="84">
        <v>0.90340514246004167</v>
      </c>
      <c r="D33" s="84">
        <v>1.097972972972973</v>
      </c>
      <c r="E33" s="84">
        <v>1.097972972972973</v>
      </c>
      <c r="F33" s="84">
        <v>1.0717230008244023</v>
      </c>
      <c r="G33" s="84">
        <v>1.0717230008244023</v>
      </c>
      <c r="H33" s="84">
        <v>1.0717230008244023</v>
      </c>
      <c r="I33" s="135">
        <f t="shared" si="0"/>
        <v>0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1.8214285714285714</v>
      </c>
      <c r="C34" s="84">
        <v>1.2815884476534296</v>
      </c>
      <c r="D34" s="84">
        <v>1.2588652482269505</v>
      </c>
      <c r="E34" s="84">
        <v>1.2588652482269505</v>
      </c>
      <c r="F34" s="84">
        <v>1.3148148148148149</v>
      </c>
      <c r="G34" s="84">
        <v>1.3148148148148149</v>
      </c>
      <c r="H34" s="84">
        <v>1.3148148148148149</v>
      </c>
      <c r="I34" s="135">
        <f t="shared" si="0"/>
        <v>0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1.3766233766233766</v>
      </c>
      <c r="C35" s="84">
        <v>1.096774193548387</v>
      </c>
      <c r="D35" s="84">
        <v>1.1056910569105691</v>
      </c>
      <c r="E35" s="84">
        <v>1.1056910569105691</v>
      </c>
      <c r="F35" s="84">
        <v>1.1623931623931625</v>
      </c>
      <c r="G35" s="84">
        <v>1.1623931623931625</v>
      </c>
      <c r="H35" s="84">
        <v>1.1623931623931625</v>
      </c>
      <c r="I35" s="135">
        <f t="shared" si="0"/>
        <v>0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2.2058823529411766</v>
      </c>
      <c r="C36" s="84">
        <v>1.5263157894736843</v>
      </c>
      <c r="D36" s="84">
        <v>1.4086021505376345</v>
      </c>
      <c r="E36" s="84">
        <v>1.4086021505376345</v>
      </c>
      <c r="F36" s="84">
        <v>2.1129032258064515</v>
      </c>
      <c r="G36" s="84">
        <v>2.1129032258064515</v>
      </c>
      <c r="H36" s="84">
        <v>2.1129032258064515</v>
      </c>
      <c r="I36" s="135">
        <f t="shared" si="0"/>
        <v>0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1.1838565022421526</v>
      </c>
      <c r="C37" s="84">
        <v>0.87009803921568629</v>
      </c>
      <c r="D37" s="84">
        <v>1.0534124629080119</v>
      </c>
      <c r="E37" s="84">
        <v>1.0534124629080119</v>
      </c>
      <c r="F37" s="84">
        <v>0.94164456233421756</v>
      </c>
      <c r="G37" s="84">
        <v>0.94164456233421756</v>
      </c>
      <c r="H37" s="84">
        <v>0.94164456233421756</v>
      </c>
      <c r="I37" s="135">
        <f t="shared" si="0"/>
        <v>0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0.97560975609756095</v>
      </c>
      <c r="C38" s="84">
        <v>0.98127340823970033</v>
      </c>
      <c r="D38" s="84">
        <v>1.1148936170212767</v>
      </c>
      <c r="E38" s="84">
        <v>1.1148936170212767</v>
      </c>
      <c r="F38" s="84">
        <v>1.1391304347826088</v>
      </c>
      <c r="G38" s="84">
        <v>1.1391304347826088</v>
      </c>
      <c r="H38" s="84">
        <v>1.1391304347826088</v>
      </c>
      <c r="I38" s="135">
        <f t="shared" si="0"/>
        <v>0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1.3225806451612903</v>
      </c>
      <c r="C39" s="84">
        <v>0.97272727272727277</v>
      </c>
      <c r="D39" s="84">
        <v>1.3717948717948718</v>
      </c>
      <c r="E39" s="84">
        <v>1.3717948717948718</v>
      </c>
      <c r="F39" s="84">
        <v>1.3048780487804879</v>
      </c>
      <c r="G39" s="84">
        <v>1.3048780487804879</v>
      </c>
      <c r="H39" s="84">
        <v>1.3048780487804879</v>
      </c>
      <c r="I39" s="135">
        <f t="shared" si="0"/>
        <v>0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1.6578947368421053</v>
      </c>
      <c r="C40" s="84">
        <v>0.88395904436860073</v>
      </c>
      <c r="D40" s="84">
        <v>1.088235294117647</v>
      </c>
      <c r="E40" s="84">
        <v>1.088235294117647</v>
      </c>
      <c r="F40" s="84">
        <v>1.2392344497607655</v>
      </c>
      <c r="G40" s="84">
        <v>1.2392344497607655</v>
      </c>
      <c r="H40" s="84">
        <v>1.2392344497607655</v>
      </c>
      <c r="I40" s="135">
        <f t="shared" si="0"/>
        <v>0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0.86982248520710059</v>
      </c>
      <c r="C41" s="84">
        <v>0.73979591836734693</v>
      </c>
      <c r="D41" s="84">
        <v>0.93548387096774188</v>
      </c>
      <c r="E41" s="84">
        <v>0.93548387096774188</v>
      </c>
      <c r="F41" s="84">
        <v>0.96666666666666667</v>
      </c>
      <c r="G41" s="84">
        <v>0.96666666666666667</v>
      </c>
      <c r="H41" s="84">
        <v>0.96666666666666667</v>
      </c>
      <c r="I41" s="135">
        <f t="shared" si="0"/>
        <v>0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2.0558375634517767</v>
      </c>
      <c r="C42" s="84">
        <v>1.5614617940199336</v>
      </c>
      <c r="D42" s="84">
        <v>2.1559633027522938</v>
      </c>
      <c r="E42" s="84">
        <v>2.1559633027522938</v>
      </c>
      <c r="F42" s="84">
        <v>1.5161290322580645</v>
      </c>
      <c r="G42" s="84">
        <v>1.5161290322580645</v>
      </c>
      <c r="H42" s="84">
        <v>1.5161290322580645</v>
      </c>
      <c r="I42" s="135">
        <f t="shared" si="0"/>
        <v>0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1.6544715447154472</v>
      </c>
      <c r="C43" s="84">
        <v>1.1505681818181819</v>
      </c>
      <c r="D43" s="84">
        <v>1.2347560975609757</v>
      </c>
      <c r="E43" s="84">
        <v>1.2347560975609757</v>
      </c>
      <c r="F43" s="84">
        <v>1.4620938628158844</v>
      </c>
      <c r="G43" s="84">
        <v>1.4620938628158844</v>
      </c>
      <c r="H43" s="84">
        <v>1.4620938628158844</v>
      </c>
      <c r="I43" s="135">
        <f t="shared" si="0"/>
        <v>0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2</v>
      </c>
      <c r="C44" s="84">
        <v>1.5714285714285714</v>
      </c>
      <c r="D44" s="84">
        <v>1.4724409448818898</v>
      </c>
      <c r="E44" s="84">
        <v>1.4724409448818898</v>
      </c>
      <c r="F44" s="84">
        <v>1.8155339805825244</v>
      </c>
      <c r="G44" s="84">
        <v>1.8155339805825244</v>
      </c>
      <c r="H44" s="84">
        <v>1.8155339805825244</v>
      </c>
      <c r="I44" s="135">
        <f t="shared" si="0"/>
        <v>0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2.1640625</v>
      </c>
      <c r="C45" s="84">
        <v>1.3923444976076556</v>
      </c>
      <c r="D45" s="84">
        <v>1.0392857142857144</v>
      </c>
      <c r="E45" s="84">
        <v>1.0392857142857144</v>
      </c>
      <c r="F45" s="84">
        <v>1.5396825396825398</v>
      </c>
      <c r="G45" s="84">
        <v>1.5396825396825398</v>
      </c>
      <c r="H45" s="84">
        <v>1.5396825396825398</v>
      </c>
      <c r="I45" s="135">
        <f t="shared" si="0"/>
        <v>0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1.3673469387755102</v>
      </c>
      <c r="C46" s="84">
        <v>2.7037037037037037</v>
      </c>
      <c r="D46" s="84">
        <v>0.77659574468085102</v>
      </c>
      <c r="E46" s="84">
        <v>0.77659574468085102</v>
      </c>
      <c r="F46" s="84">
        <v>0.97333333333333338</v>
      </c>
      <c r="G46" s="84">
        <v>0.97333333333333338</v>
      </c>
      <c r="H46" s="84">
        <v>0.97333333333333338</v>
      </c>
      <c r="I46" s="135">
        <f t="shared" si="0"/>
        <v>0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1.7214611872146119</v>
      </c>
      <c r="C47" s="84">
        <v>1.0876712328767124</v>
      </c>
      <c r="D47" s="84">
        <v>1.3549488054607508</v>
      </c>
      <c r="E47" s="84">
        <v>1.3549488054607508</v>
      </c>
      <c r="F47" s="84">
        <v>1.2484276729559749</v>
      </c>
      <c r="G47" s="84">
        <v>1.2484276729559749</v>
      </c>
      <c r="H47" s="84">
        <v>1.2484276729559749</v>
      </c>
      <c r="I47" s="135">
        <f t="shared" si="0"/>
        <v>0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1.691358024691358</v>
      </c>
      <c r="C48" s="84">
        <v>1.4666666666666666</v>
      </c>
      <c r="D48" s="84">
        <v>1.2125984251968505</v>
      </c>
      <c r="E48" s="84">
        <v>1.2125984251968505</v>
      </c>
      <c r="F48" s="84">
        <v>0.97468354430379744</v>
      </c>
      <c r="G48" s="84">
        <v>0.97468354430379744</v>
      </c>
      <c r="H48" s="84">
        <v>0.97468354430379744</v>
      </c>
      <c r="I48" s="135">
        <f t="shared" si="0"/>
        <v>0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1.3571428571428572</v>
      </c>
      <c r="C49" s="84">
        <v>0.96202531645569622</v>
      </c>
      <c r="D49" s="84">
        <v>1.2063492063492063</v>
      </c>
      <c r="E49" s="84">
        <v>1.2063492063492063</v>
      </c>
      <c r="F49" s="84">
        <v>1.2258064516129032</v>
      </c>
      <c r="G49" s="84">
        <v>1.2258064516129032</v>
      </c>
      <c r="H49" s="84">
        <v>1.2258064516129032</v>
      </c>
      <c r="I49" s="135">
        <f t="shared" si="0"/>
        <v>0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1.835633626097867</v>
      </c>
      <c r="C50" s="89">
        <v>1.3075000000000001</v>
      </c>
      <c r="D50" s="89">
        <v>1.4985673352435529</v>
      </c>
      <c r="E50" s="89">
        <v>1.4985673352435529</v>
      </c>
      <c r="F50" s="89">
        <v>1.4263636363636363</v>
      </c>
      <c r="G50" s="89">
        <v>1.4263636363636363</v>
      </c>
      <c r="H50" s="89">
        <v>1.4263636363636363</v>
      </c>
      <c r="I50" s="136">
        <f t="shared" si="0"/>
        <v>0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1.756267409470752</v>
      </c>
      <c r="C51" s="84">
        <v>1.2940622054665409</v>
      </c>
      <c r="D51" s="84">
        <v>1.5121145374449338</v>
      </c>
      <c r="E51" s="84">
        <v>1.5121145374449338</v>
      </c>
      <c r="F51" s="84">
        <v>1.4513742071881606</v>
      </c>
      <c r="G51" s="84">
        <v>1.4513742071881606</v>
      </c>
      <c r="H51" s="84">
        <v>1.4513742071881606</v>
      </c>
      <c r="I51" s="135">
        <f t="shared" si="0"/>
        <v>0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2.5569620253164556</v>
      </c>
      <c r="C52" s="84">
        <v>1.4100719424460431</v>
      </c>
      <c r="D52" s="84">
        <v>1.4100719424460431</v>
      </c>
      <c r="E52" s="84">
        <v>1.4100719424460431</v>
      </c>
      <c r="F52" s="84">
        <v>1.2727272727272727</v>
      </c>
      <c r="G52" s="84">
        <v>1.2727272727272727</v>
      </c>
      <c r="H52" s="84">
        <v>1.2727272727272727</v>
      </c>
      <c r="I52" s="135">
        <f t="shared" si="0"/>
        <v>0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138">
        <v>0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83">
        <f t="shared" si="0"/>
        <v>0</v>
      </c>
    </row>
    <row r="54" spans="1:15" hidden="1" x14ac:dyDescent="0.25">
      <c r="A54" s="57" t="s">
        <v>134</v>
      </c>
      <c r="B54" s="138">
        <v>0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93">
        <f t="shared" si="0"/>
        <v>0</v>
      </c>
    </row>
    <row r="55" spans="1:15" hidden="1" x14ac:dyDescent="0.25">
      <c r="A55" s="59" t="s">
        <v>40</v>
      </c>
      <c r="B55" s="138">
        <v>0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84">
        <f t="shared" si="0"/>
        <v>0</v>
      </c>
    </row>
    <row r="56" spans="1:15" hidden="1" x14ac:dyDescent="0.25">
      <c r="A56" s="57" t="s">
        <v>37</v>
      </c>
      <c r="B56" s="138">
        <v>1.6325742956387495</v>
      </c>
      <c r="C56" s="138">
        <v>1.1191616766467065</v>
      </c>
      <c r="D56" s="138">
        <v>1.244846389147493</v>
      </c>
      <c r="E56" s="138">
        <v>1.244846389147493</v>
      </c>
      <c r="F56" s="138">
        <v>1.2307692307692308</v>
      </c>
      <c r="G56" s="138">
        <v>1.2307692307692308</v>
      </c>
      <c r="H56" s="138">
        <v>1.2307692307692308</v>
      </c>
      <c r="I56" s="84">
        <f t="shared" si="0"/>
        <v>0</v>
      </c>
    </row>
    <row r="57" spans="1:15" ht="8.1" customHeight="1" x14ac:dyDescent="0.25"/>
    <row r="58" spans="1:15" ht="24" customHeight="1" x14ac:dyDescent="0.25">
      <c r="A58" s="99" t="s">
        <v>202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opLeftCell="A40" zoomScale="120" zoomScaleNormal="120" zoomScaleSheetLayoutView="120" workbookViewId="0">
      <selection activeCell="A58" sqref="A58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20.140625" style="56" bestFit="1" customWidth="1"/>
    <col min="15" max="15" width="16.5703125" style="56" bestFit="1" customWidth="1"/>
    <col min="16" max="16384" width="11.42578125" style="56"/>
  </cols>
  <sheetData>
    <row r="1" spans="1:9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9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9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9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9" s="4" customFormat="1" ht="15" customHeight="1" x14ac:dyDescent="0.25">
      <c r="A5" s="90" t="s">
        <v>237</v>
      </c>
      <c r="B5" s="90"/>
      <c r="C5" s="90"/>
      <c r="D5" s="90"/>
      <c r="E5" s="90"/>
      <c r="F5" s="90"/>
      <c r="G5" s="90"/>
      <c r="H5" s="91"/>
      <c r="I5" s="91"/>
    </row>
    <row r="6" spans="1:9" s="4" customFormat="1" ht="6.75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9" s="77" customFormat="1" ht="14.1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9" s="77" customFormat="1" ht="14.1" customHeight="1" x14ac:dyDescent="0.35">
      <c r="A8" s="86">
        <v>2012</v>
      </c>
      <c r="B8" s="110">
        <f>$B$56</f>
        <v>416393</v>
      </c>
      <c r="C8" s="78"/>
      <c r="D8" s="76"/>
      <c r="E8" s="72"/>
      <c r="F8" s="72"/>
      <c r="G8" s="72"/>
      <c r="H8" s="72"/>
      <c r="I8" s="6"/>
    </row>
    <row r="9" spans="1:9" s="77" customFormat="1" ht="14.1" customHeight="1" x14ac:dyDescent="0.35">
      <c r="A9" s="86">
        <v>2013</v>
      </c>
      <c r="B9" s="110">
        <f>$C$56</f>
        <v>321889</v>
      </c>
      <c r="C9" s="76"/>
      <c r="D9" s="76"/>
      <c r="E9" s="72"/>
      <c r="F9" s="72"/>
      <c r="G9" s="72"/>
      <c r="H9" s="72"/>
      <c r="I9" s="6"/>
    </row>
    <row r="10" spans="1:9" s="77" customFormat="1" ht="14.1" customHeight="1" x14ac:dyDescent="0.35">
      <c r="A10" s="86">
        <v>2014</v>
      </c>
      <c r="B10" s="110">
        <f>$D$56</f>
        <v>226675</v>
      </c>
      <c r="C10" s="76"/>
      <c r="D10" s="76"/>
      <c r="E10" s="72"/>
      <c r="F10" s="72"/>
      <c r="G10" s="72"/>
      <c r="H10" s="72"/>
      <c r="I10" s="6"/>
    </row>
    <row r="11" spans="1:9" s="77" customFormat="1" ht="14.1" customHeight="1" x14ac:dyDescent="0.35">
      <c r="A11" s="86">
        <v>2015</v>
      </c>
      <c r="B11" s="110">
        <f>$E$56</f>
        <v>146615</v>
      </c>
      <c r="C11" s="76"/>
      <c r="D11" s="76"/>
      <c r="E11" s="72"/>
      <c r="F11" s="72"/>
      <c r="G11" s="72"/>
      <c r="H11" s="72"/>
      <c r="I11" s="6"/>
    </row>
    <row r="12" spans="1:9" s="77" customFormat="1" ht="14.1" customHeight="1" x14ac:dyDescent="0.35">
      <c r="A12" s="86">
        <v>2016</v>
      </c>
      <c r="B12" s="110">
        <f>$F$56</f>
        <v>142971</v>
      </c>
      <c r="C12" s="76"/>
      <c r="D12" s="76"/>
      <c r="E12" s="72"/>
      <c r="F12" s="72"/>
      <c r="G12" s="72"/>
      <c r="H12" s="72"/>
      <c r="I12" s="6"/>
    </row>
    <row r="13" spans="1:9" s="77" customFormat="1" ht="14.1" customHeight="1" x14ac:dyDescent="0.35">
      <c r="A13" s="86">
        <v>2017</v>
      </c>
      <c r="B13" s="110">
        <f>$G$56</f>
        <v>167725</v>
      </c>
      <c r="C13" s="76"/>
      <c r="D13" s="76"/>
      <c r="E13" s="72"/>
      <c r="F13" s="72"/>
      <c r="G13" s="72"/>
      <c r="H13" s="72"/>
      <c r="I13" s="6"/>
    </row>
    <row r="14" spans="1:9" s="77" customFormat="1" ht="14.1" customHeight="1" x14ac:dyDescent="0.35">
      <c r="A14" s="86">
        <v>2018</v>
      </c>
      <c r="B14" s="110">
        <f>$H$56</f>
        <v>164018</v>
      </c>
      <c r="C14" s="76"/>
      <c r="D14" s="76"/>
      <c r="E14" s="72"/>
      <c r="F14" s="72"/>
      <c r="G14" s="72"/>
      <c r="H14" s="72"/>
      <c r="I14" s="6"/>
    </row>
    <row r="15" spans="1:9" s="77" customFormat="1" ht="14.1" customHeight="1" x14ac:dyDescent="0.35">
      <c r="A15" s="88" t="s">
        <v>47</v>
      </c>
      <c r="B15" s="110">
        <f>B14-B13</f>
        <v>-3707</v>
      </c>
      <c r="C15" s="76"/>
      <c r="D15" s="76"/>
      <c r="E15" s="72"/>
      <c r="F15" s="72"/>
      <c r="G15" s="72"/>
      <c r="H15" s="72"/>
      <c r="I15" s="6"/>
    </row>
    <row r="16" spans="1:9" s="4" customFormat="1" ht="6.75" customHeight="1" x14ac:dyDescent="0.35">
      <c r="A16" s="80"/>
      <c r="B16" s="230"/>
      <c r="C16" s="230"/>
      <c r="D16" s="230"/>
      <c r="E16" s="231"/>
      <c r="F16" s="231"/>
      <c r="G16" s="231"/>
      <c r="H16" s="137"/>
      <c r="I16" s="7"/>
    </row>
    <row r="17" spans="1:13" hidden="1" x14ac:dyDescent="0.25">
      <c r="A17" s="94" t="s">
        <v>205</v>
      </c>
      <c r="B17" s="55" t="s">
        <v>45</v>
      </c>
      <c r="I17" s="92" t="s">
        <v>170</v>
      </c>
      <c r="J17" s="3"/>
      <c r="K17" s="3"/>
      <c r="L17" s="3"/>
      <c r="M17" s="3"/>
    </row>
    <row r="18" spans="1:13" x14ac:dyDescent="0.25">
      <c r="A18" s="55" t="s">
        <v>168</v>
      </c>
      <c r="B18" s="175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</row>
    <row r="19" spans="1:13" x14ac:dyDescent="0.25">
      <c r="A19" s="57" t="s">
        <v>49</v>
      </c>
      <c r="B19" s="176">
        <v>391422</v>
      </c>
      <c r="C19" s="58">
        <v>298624</v>
      </c>
      <c r="D19" s="58">
        <v>209203</v>
      </c>
      <c r="E19" s="58">
        <v>135309</v>
      </c>
      <c r="F19" s="58">
        <v>128708</v>
      </c>
      <c r="G19" s="58">
        <v>151548</v>
      </c>
      <c r="H19" s="58">
        <v>150857</v>
      </c>
      <c r="I19" s="111">
        <f t="shared" ref="I19:I56" si="0">H19-G19</f>
        <v>-691</v>
      </c>
      <c r="J19" s="3"/>
      <c r="K19" s="3"/>
      <c r="L19" s="3"/>
      <c r="M19" s="3"/>
    </row>
    <row r="20" spans="1:13" x14ac:dyDescent="0.25">
      <c r="A20" s="59" t="s">
        <v>1</v>
      </c>
      <c r="B20" s="176">
        <v>6562</v>
      </c>
      <c r="C20" s="58">
        <v>5889</v>
      </c>
      <c r="D20" s="58">
        <v>3707</v>
      </c>
      <c r="E20" s="58">
        <v>2738</v>
      </c>
      <c r="F20" s="58">
        <v>2520</v>
      </c>
      <c r="G20" s="58">
        <v>3677</v>
      </c>
      <c r="H20" s="58">
        <v>3514</v>
      </c>
      <c r="I20" s="60">
        <f t="shared" si="0"/>
        <v>-163</v>
      </c>
      <c r="J20" s="3"/>
      <c r="K20" s="3"/>
      <c r="L20" s="3"/>
      <c r="M20" s="3"/>
    </row>
    <row r="21" spans="1:13" x14ac:dyDescent="0.25">
      <c r="A21" s="59" t="s">
        <v>3</v>
      </c>
      <c r="B21" s="176">
        <v>20418</v>
      </c>
      <c r="C21" s="58">
        <v>11950</v>
      </c>
      <c r="D21" s="58">
        <v>5889</v>
      </c>
      <c r="E21" s="58">
        <v>2365</v>
      </c>
      <c r="F21" s="58">
        <v>2060</v>
      </c>
      <c r="G21" s="58">
        <v>3022</v>
      </c>
      <c r="H21" s="58">
        <v>5453</v>
      </c>
      <c r="I21" s="60">
        <f t="shared" si="0"/>
        <v>2431</v>
      </c>
      <c r="J21" s="3"/>
      <c r="K21" s="3"/>
      <c r="L21" s="3"/>
      <c r="M21" s="3"/>
    </row>
    <row r="22" spans="1:13" x14ac:dyDescent="0.25">
      <c r="A22" s="59" t="s">
        <v>4</v>
      </c>
      <c r="B22" s="176">
        <v>3026</v>
      </c>
      <c r="C22" s="58">
        <v>2477</v>
      </c>
      <c r="D22" s="58">
        <v>1164</v>
      </c>
      <c r="E22" s="58">
        <v>707</v>
      </c>
      <c r="F22" s="58">
        <v>1141</v>
      </c>
      <c r="G22" s="58">
        <v>792</v>
      </c>
      <c r="H22" s="58">
        <v>892</v>
      </c>
      <c r="I22" s="60">
        <f t="shared" si="0"/>
        <v>100</v>
      </c>
      <c r="J22" s="3"/>
      <c r="K22" s="3"/>
      <c r="L22" s="3"/>
      <c r="M22" s="3"/>
    </row>
    <row r="23" spans="1:13" x14ac:dyDescent="0.25">
      <c r="A23" s="59" t="s">
        <v>5</v>
      </c>
      <c r="B23" s="176">
        <v>2301</v>
      </c>
      <c r="C23" s="58">
        <v>2177</v>
      </c>
      <c r="D23" s="58">
        <v>1325</v>
      </c>
      <c r="E23" s="58">
        <v>421</v>
      </c>
      <c r="F23" s="58">
        <v>209</v>
      </c>
      <c r="G23" s="58">
        <v>236</v>
      </c>
      <c r="H23" s="58">
        <v>4126</v>
      </c>
      <c r="I23" s="60">
        <f t="shared" si="0"/>
        <v>3890</v>
      </c>
      <c r="J23" s="3"/>
      <c r="K23" s="3"/>
      <c r="L23" s="3"/>
      <c r="M23" s="3"/>
    </row>
    <row r="24" spans="1:13" x14ac:dyDescent="0.25">
      <c r="A24" s="59" t="s">
        <v>6</v>
      </c>
      <c r="B24" s="176">
        <v>5593</v>
      </c>
      <c r="C24" s="58">
        <v>5222</v>
      </c>
      <c r="D24" s="58">
        <v>4291</v>
      </c>
      <c r="E24" s="58">
        <v>4628</v>
      </c>
      <c r="F24" s="58">
        <v>3261</v>
      </c>
      <c r="G24" s="58">
        <v>3960</v>
      </c>
      <c r="H24" s="58">
        <v>2459</v>
      </c>
      <c r="I24" s="60">
        <f t="shared" si="0"/>
        <v>-1501</v>
      </c>
      <c r="J24" s="3"/>
      <c r="K24" s="3"/>
      <c r="L24" s="3"/>
      <c r="M24" s="3"/>
    </row>
    <row r="25" spans="1:13" x14ac:dyDescent="0.25">
      <c r="A25" s="59" t="s">
        <v>7</v>
      </c>
      <c r="B25" s="176">
        <v>17438</v>
      </c>
      <c r="C25" s="58">
        <v>11054</v>
      </c>
      <c r="D25" s="58">
        <v>5796</v>
      </c>
      <c r="E25" s="58">
        <v>2680</v>
      </c>
      <c r="F25" s="58">
        <v>2090</v>
      </c>
      <c r="G25" s="58">
        <v>9869</v>
      </c>
      <c r="H25" s="58">
        <v>7969</v>
      </c>
      <c r="I25" s="60">
        <f t="shared" si="0"/>
        <v>-1900</v>
      </c>
      <c r="J25" s="3"/>
      <c r="K25" s="3"/>
      <c r="L25" s="3"/>
      <c r="M25" s="3"/>
    </row>
    <row r="26" spans="1:13" x14ac:dyDescent="0.25">
      <c r="A26" s="59" t="s">
        <v>31</v>
      </c>
      <c r="B26" s="176">
        <v>13884</v>
      </c>
      <c r="C26" s="58">
        <v>12186</v>
      </c>
      <c r="D26" s="58">
        <v>5638</v>
      </c>
      <c r="E26" s="58">
        <v>500</v>
      </c>
      <c r="F26" s="58">
        <v>1777</v>
      </c>
      <c r="G26" s="58">
        <v>716</v>
      </c>
      <c r="H26" s="58">
        <v>3892</v>
      </c>
      <c r="I26" s="60">
        <f t="shared" si="0"/>
        <v>3176</v>
      </c>
      <c r="J26" s="3"/>
      <c r="K26" s="3"/>
      <c r="L26" s="3"/>
      <c r="M26" s="3"/>
    </row>
    <row r="27" spans="1:13" x14ac:dyDescent="0.25">
      <c r="A27" s="59" t="s">
        <v>8</v>
      </c>
      <c r="B27" s="176">
        <v>4285</v>
      </c>
      <c r="C27" s="58">
        <v>3260</v>
      </c>
      <c r="D27" s="58">
        <v>1997</v>
      </c>
      <c r="E27" s="58">
        <v>578</v>
      </c>
      <c r="F27" s="58">
        <v>446</v>
      </c>
      <c r="G27" s="58">
        <v>833</v>
      </c>
      <c r="H27" s="58">
        <v>1128</v>
      </c>
      <c r="I27" s="60">
        <f t="shared" si="0"/>
        <v>295</v>
      </c>
      <c r="J27" s="3"/>
      <c r="K27" s="3"/>
      <c r="L27" s="3"/>
      <c r="M27" s="3"/>
    </row>
    <row r="28" spans="1:13" x14ac:dyDescent="0.25">
      <c r="A28" s="59" t="s">
        <v>9</v>
      </c>
      <c r="B28" s="176">
        <v>9014</v>
      </c>
      <c r="C28" s="58">
        <v>7093</v>
      </c>
      <c r="D28" s="58">
        <v>2625</v>
      </c>
      <c r="E28" s="58">
        <v>717</v>
      </c>
      <c r="F28" s="58">
        <v>836</v>
      </c>
      <c r="G28" s="58">
        <v>2362</v>
      </c>
      <c r="H28" s="58">
        <v>3123</v>
      </c>
      <c r="I28" s="60">
        <f t="shared" si="0"/>
        <v>761</v>
      </c>
      <c r="J28" s="3"/>
      <c r="K28" s="3"/>
      <c r="L28" s="3"/>
      <c r="M28" s="3"/>
    </row>
    <row r="29" spans="1:13" x14ac:dyDescent="0.25">
      <c r="A29" s="59" t="s">
        <v>10</v>
      </c>
      <c r="B29" s="176">
        <v>33636</v>
      </c>
      <c r="C29" s="58">
        <v>22717</v>
      </c>
      <c r="D29" s="58">
        <v>22282</v>
      </c>
      <c r="E29" s="58">
        <v>30302</v>
      </c>
      <c r="F29" s="58">
        <v>14908</v>
      </c>
      <c r="G29" s="58">
        <v>8486</v>
      </c>
      <c r="H29" s="58">
        <v>8126</v>
      </c>
      <c r="I29" s="60">
        <f t="shared" si="0"/>
        <v>-360</v>
      </c>
      <c r="J29" s="3"/>
      <c r="K29" s="3"/>
      <c r="L29" s="3"/>
      <c r="M29" s="3"/>
    </row>
    <row r="30" spans="1:13" x14ac:dyDescent="0.25">
      <c r="A30" s="59" t="s">
        <v>11</v>
      </c>
      <c r="B30" s="176">
        <v>4454</v>
      </c>
      <c r="C30" s="58">
        <v>4631</v>
      </c>
      <c r="D30" s="58">
        <v>2933</v>
      </c>
      <c r="E30" s="58">
        <v>1571</v>
      </c>
      <c r="F30" s="58">
        <v>1707</v>
      </c>
      <c r="G30" s="58">
        <v>1480</v>
      </c>
      <c r="H30" s="58">
        <v>7440</v>
      </c>
      <c r="I30" s="60">
        <f t="shared" si="0"/>
        <v>5960</v>
      </c>
      <c r="J30" s="3"/>
      <c r="K30" s="3"/>
      <c r="L30" s="3"/>
      <c r="M30" s="3"/>
    </row>
    <row r="31" spans="1:13" x14ac:dyDescent="0.25">
      <c r="A31" s="59" t="s">
        <v>12</v>
      </c>
      <c r="B31" s="176">
        <v>2326</v>
      </c>
      <c r="C31" s="58">
        <v>2670</v>
      </c>
      <c r="D31" s="58">
        <v>2003</v>
      </c>
      <c r="E31" s="58">
        <v>599</v>
      </c>
      <c r="F31" s="58">
        <v>839</v>
      </c>
      <c r="G31" s="58">
        <v>1175</v>
      </c>
      <c r="H31" s="58">
        <v>1323</v>
      </c>
      <c r="I31" s="60">
        <f t="shared" si="0"/>
        <v>148</v>
      </c>
      <c r="J31" s="3"/>
      <c r="K31" s="3"/>
      <c r="L31" s="3"/>
      <c r="M31" s="3"/>
    </row>
    <row r="32" spans="1:13" x14ac:dyDescent="0.25">
      <c r="A32" s="59" t="s">
        <v>13</v>
      </c>
      <c r="B32" s="176">
        <v>34114</v>
      </c>
      <c r="C32" s="58">
        <v>23920</v>
      </c>
      <c r="D32" s="58">
        <v>13630</v>
      </c>
      <c r="E32" s="58">
        <v>4643</v>
      </c>
      <c r="F32" s="58">
        <v>5689</v>
      </c>
      <c r="G32" s="58">
        <v>8294</v>
      </c>
      <c r="H32" s="58">
        <v>12472</v>
      </c>
      <c r="I32" s="60">
        <f t="shared" si="0"/>
        <v>4178</v>
      </c>
      <c r="J32" s="3"/>
      <c r="K32" s="3"/>
      <c r="L32" s="3"/>
      <c r="M32" s="3"/>
    </row>
    <row r="33" spans="1:13" x14ac:dyDescent="0.25">
      <c r="A33" s="59" t="s">
        <v>14</v>
      </c>
      <c r="B33" s="176">
        <v>44733</v>
      </c>
      <c r="C33" s="58">
        <v>36420</v>
      </c>
      <c r="D33" s="58">
        <v>25771</v>
      </c>
      <c r="E33" s="58">
        <v>17410</v>
      </c>
      <c r="F33" s="58">
        <v>10044</v>
      </c>
      <c r="G33" s="58">
        <v>14747</v>
      </c>
      <c r="H33" s="58">
        <v>11415</v>
      </c>
      <c r="I33" s="60">
        <f t="shared" si="0"/>
        <v>-3332</v>
      </c>
      <c r="J33" s="3"/>
      <c r="K33" s="3"/>
      <c r="L33" s="3"/>
      <c r="M33" s="3"/>
    </row>
    <row r="34" spans="1:13" x14ac:dyDescent="0.25">
      <c r="A34" s="59" t="s">
        <v>30</v>
      </c>
      <c r="B34" s="176">
        <v>7708</v>
      </c>
      <c r="C34" s="58">
        <v>6714</v>
      </c>
      <c r="D34" s="58">
        <v>4341</v>
      </c>
      <c r="E34" s="58">
        <v>1758</v>
      </c>
      <c r="F34" s="58">
        <v>1852</v>
      </c>
      <c r="G34" s="58">
        <v>3982</v>
      </c>
      <c r="H34" s="58">
        <v>2699</v>
      </c>
      <c r="I34" s="60">
        <f t="shared" si="0"/>
        <v>-1283</v>
      </c>
      <c r="J34" s="3"/>
      <c r="K34" s="3"/>
      <c r="L34" s="3"/>
      <c r="M34" s="3"/>
    </row>
    <row r="35" spans="1:13" x14ac:dyDescent="0.25">
      <c r="A35" s="59" t="s">
        <v>15</v>
      </c>
      <c r="B35" s="176">
        <v>5342</v>
      </c>
      <c r="C35" s="58">
        <v>4512</v>
      </c>
      <c r="D35" s="58">
        <v>2026</v>
      </c>
      <c r="E35" s="58">
        <v>3377</v>
      </c>
      <c r="F35" s="58">
        <v>902</v>
      </c>
      <c r="G35" s="58">
        <v>4191</v>
      </c>
      <c r="H35" s="58">
        <v>2994</v>
      </c>
      <c r="I35" s="60">
        <f t="shared" si="0"/>
        <v>-1197</v>
      </c>
      <c r="J35" s="3"/>
      <c r="K35" s="3"/>
      <c r="L35" s="3"/>
      <c r="M35" s="3"/>
    </row>
    <row r="36" spans="1:13" x14ac:dyDescent="0.25">
      <c r="A36" s="59" t="s">
        <v>16</v>
      </c>
      <c r="B36" s="176">
        <v>1997</v>
      </c>
      <c r="C36" s="58">
        <v>1860</v>
      </c>
      <c r="D36" s="58">
        <v>978</v>
      </c>
      <c r="E36" s="58">
        <v>289</v>
      </c>
      <c r="F36" s="58">
        <v>609</v>
      </c>
      <c r="G36" s="58">
        <v>629</v>
      </c>
      <c r="H36" s="58">
        <v>2109</v>
      </c>
      <c r="I36" s="60">
        <f t="shared" si="0"/>
        <v>1480</v>
      </c>
      <c r="J36" s="3"/>
      <c r="K36" s="3"/>
      <c r="L36" s="3"/>
      <c r="M36" s="3"/>
    </row>
    <row r="37" spans="1:13" x14ac:dyDescent="0.25">
      <c r="A37" s="59" t="s">
        <v>17</v>
      </c>
      <c r="B37" s="176">
        <v>57312</v>
      </c>
      <c r="C37" s="58">
        <v>44762</v>
      </c>
      <c r="D37" s="58">
        <v>42589</v>
      </c>
      <c r="E37" s="58">
        <v>32438</v>
      </c>
      <c r="F37" s="58">
        <v>44247</v>
      </c>
      <c r="G37" s="58">
        <v>38367</v>
      </c>
      <c r="H37" s="58">
        <v>27119</v>
      </c>
      <c r="I37" s="60">
        <f t="shared" si="0"/>
        <v>-11248</v>
      </c>
      <c r="J37" s="3"/>
      <c r="K37" s="3"/>
      <c r="L37" s="3"/>
      <c r="M37" s="3"/>
    </row>
    <row r="38" spans="1:13" x14ac:dyDescent="0.25">
      <c r="A38" s="59" t="s">
        <v>18</v>
      </c>
      <c r="B38" s="176">
        <v>9486</v>
      </c>
      <c r="C38" s="58">
        <v>7054</v>
      </c>
      <c r="D38" s="58">
        <v>4857</v>
      </c>
      <c r="E38" s="58">
        <v>2966</v>
      </c>
      <c r="F38" s="58">
        <v>5771</v>
      </c>
      <c r="G38" s="58">
        <v>4484</v>
      </c>
      <c r="H38" s="58">
        <v>3898</v>
      </c>
      <c r="I38" s="60">
        <f t="shared" si="0"/>
        <v>-586</v>
      </c>
      <c r="J38" s="3"/>
      <c r="K38" s="3"/>
      <c r="L38" s="3"/>
      <c r="M38" s="3"/>
    </row>
    <row r="39" spans="1:13" x14ac:dyDescent="0.25">
      <c r="A39" s="59" t="s">
        <v>29</v>
      </c>
      <c r="B39" s="176">
        <v>6562</v>
      </c>
      <c r="C39" s="58">
        <v>4856</v>
      </c>
      <c r="D39" s="58">
        <v>1933</v>
      </c>
      <c r="E39" s="58">
        <v>297</v>
      </c>
      <c r="F39" s="58">
        <v>1056</v>
      </c>
      <c r="G39" s="58">
        <v>1617</v>
      </c>
      <c r="H39" s="58">
        <v>1223</v>
      </c>
      <c r="I39" s="60">
        <f t="shared" si="0"/>
        <v>-394</v>
      </c>
      <c r="J39" s="3"/>
      <c r="K39" s="3"/>
      <c r="L39" s="3"/>
      <c r="M39" s="3"/>
    </row>
    <row r="40" spans="1:13" x14ac:dyDescent="0.25">
      <c r="A40" s="59" t="s">
        <v>19</v>
      </c>
      <c r="B40" s="176">
        <v>12321</v>
      </c>
      <c r="C40" s="58">
        <v>8547</v>
      </c>
      <c r="D40" s="58">
        <v>4110</v>
      </c>
      <c r="E40" s="58">
        <v>140</v>
      </c>
      <c r="F40" s="58">
        <v>101</v>
      </c>
      <c r="G40" s="58">
        <v>210</v>
      </c>
      <c r="H40" s="58">
        <v>2332</v>
      </c>
      <c r="I40" s="60">
        <f t="shared" si="0"/>
        <v>2122</v>
      </c>
      <c r="J40" s="3"/>
      <c r="K40" s="3"/>
      <c r="L40" s="3"/>
      <c r="M40" s="3"/>
    </row>
    <row r="41" spans="1:13" x14ac:dyDescent="0.25">
      <c r="A41" s="59" t="s">
        <v>20</v>
      </c>
      <c r="B41" s="176">
        <v>10960</v>
      </c>
      <c r="C41" s="58">
        <v>8025</v>
      </c>
      <c r="D41" s="58">
        <v>6288</v>
      </c>
      <c r="E41" s="58">
        <v>2880</v>
      </c>
      <c r="F41" s="58">
        <v>4290</v>
      </c>
      <c r="G41" s="58">
        <v>4791</v>
      </c>
      <c r="H41" s="58">
        <v>3301</v>
      </c>
      <c r="I41" s="60">
        <f t="shared" si="0"/>
        <v>-1490</v>
      </c>
      <c r="J41" s="3"/>
      <c r="K41" s="3"/>
      <c r="L41" s="3"/>
      <c r="M41" s="3"/>
    </row>
    <row r="42" spans="1:13" x14ac:dyDescent="0.25">
      <c r="A42" s="59" t="s">
        <v>21</v>
      </c>
      <c r="B42" s="176">
        <v>11683</v>
      </c>
      <c r="C42" s="58">
        <v>7312</v>
      </c>
      <c r="D42" s="58">
        <v>3570</v>
      </c>
      <c r="E42" s="58">
        <v>774</v>
      </c>
      <c r="F42" s="58">
        <v>331</v>
      </c>
      <c r="G42" s="58">
        <v>410</v>
      </c>
      <c r="H42" s="58">
        <v>487</v>
      </c>
      <c r="I42" s="60">
        <f t="shared" si="0"/>
        <v>77</v>
      </c>
      <c r="J42" s="3"/>
      <c r="K42" s="3"/>
      <c r="L42" s="3"/>
      <c r="M42" s="3"/>
    </row>
    <row r="43" spans="1:13" x14ac:dyDescent="0.25">
      <c r="A43" s="59" t="s">
        <v>22</v>
      </c>
      <c r="B43" s="176">
        <v>15470</v>
      </c>
      <c r="C43" s="58">
        <v>11874</v>
      </c>
      <c r="D43" s="58">
        <v>10087</v>
      </c>
      <c r="E43" s="58">
        <v>5816</v>
      </c>
      <c r="F43" s="58">
        <v>7200</v>
      </c>
      <c r="G43" s="58">
        <v>7657</v>
      </c>
      <c r="H43" s="58">
        <v>5794</v>
      </c>
      <c r="I43" s="60">
        <f t="shared" si="0"/>
        <v>-1863</v>
      </c>
      <c r="J43" s="3"/>
      <c r="K43" s="3"/>
      <c r="L43" s="3"/>
      <c r="M43" s="3"/>
    </row>
    <row r="44" spans="1:13" x14ac:dyDescent="0.25">
      <c r="A44" s="59" t="s">
        <v>23</v>
      </c>
      <c r="B44" s="176">
        <v>4008</v>
      </c>
      <c r="C44" s="58">
        <v>3145</v>
      </c>
      <c r="D44" s="58">
        <v>1647</v>
      </c>
      <c r="E44" s="58">
        <v>682</v>
      </c>
      <c r="F44" s="58">
        <v>1976</v>
      </c>
      <c r="G44" s="58">
        <v>1011</v>
      </c>
      <c r="H44" s="58">
        <v>430</v>
      </c>
      <c r="I44" s="60">
        <f t="shared" si="0"/>
        <v>-581</v>
      </c>
      <c r="J44" s="3"/>
      <c r="K44" s="3"/>
      <c r="L44" s="3"/>
      <c r="M44" s="3"/>
    </row>
    <row r="45" spans="1:13" x14ac:dyDescent="0.25">
      <c r="A45" s="59" t="s">
        <v>24</v>
      </c>
      <c r="B45" s="176">
        <v>20257</v>
      </c>
      <c r="C45" s="58">
        <v>16612</v>
      </c>
      <c r="D45" s="58">
        <v>11238</v>
      </c>
      <c r="E45" s="58">
        <v>5910</v>
      </c>
      <c r="F45" s="58">
        <v>3556</v>
      </c>
      <c r="G45" s="58">
        <v>10735</v>
      </c>
      <c r="H45" s="58">
        <v>10400</v>
      </c>
      <c r="I45" s="60">
        <f t="shared" si="0"/>
        <v>-335</v>
      </c>
      <c r="J45" s="3"/>
      <c r="K45" s="3"/>
      <c r="L45" s="3"/>
      <c r="M45" s="3"/>
    </row>
    <row r="46" spans="1:13" x14ac:dyDescent="0.25">
      <c r="A46" s="59" t="s">
        <v>25</v>
      </c>
      <c r="B46" s="176">
        <v>2039</v>
      </c>
      <c r="C46" s="58">
        <v>1385</v>
      </c>
      <c r="D46" s="58">
        <v>740</v>
      </c>
      <c r="E46" s="58">
        <v>19</v>
      </c>
      <c r="F46" s="58">
        <v>59</v>
      </c>
      <c r="G46" s="58">
        <v>1455</v>
      </c>
      <c r="H46" s="58">
        <v>2082</v>
      </c>
      <c r="I46" s="60">
        <f t="shared" si="0"/>
        <v>627</v>
      </c>
      <c r="J46" s="3"/>
      <c r="K46" s="3"/>
      <c r="L46" s="3"/>
      <c r="M46" s="3"/>
    </row>
    <row r="47" spans="1:13" x14ac:dyDescent="0.25">
      <c r="A47" s="59" t="s">
        <v>53</v>
      </c>
      <c r="B47" s="176">
        <v>14349</v>
      </c>
      <c r="C47" s="58">
        <v>10384</v>
      </c>
      <c r="D47" s="58">
        <v>7761</v>
      </c>
      <c r="E47" s="58">
        <v>4165</v>
      </c>
      <c r="F47" s="58">
        <v>5370</v>
      </c>
      <c r="G47" s="58">
        <v>5496</v>
      </c>
      <c r="H47" s="58">
        <v>7078</v>
      </c>
      <c r="I47" s="60">
        <f t="shared" si="0"/>
        <v>1582</v>
      </c>
      <c r="J47" s="3"/>
      <c r="K47" s="3"/>
      <c r="L47" s="3"/>
      <c r="M47" s="3"/>
    </row>
    <row r="48" spans="1:13" x14ac:dyDescent="0.25">
      <c r="A48" s="59" t="s">
        <v>26</v>
      </c>
      <c r="B48" s="176">
        <v>7244</v>
      </c>
      <c r="C48" s="58">
        <v>7791</v>
      </c>
      <c r="D48" s="58">
        <v>5669</v>
      </c>
      <c r="E48" s="58">
        <v>2172</v>
      </c>
      <c r="F48" s="58">
        <v>3318</v>
      </c>
      <c r="G48" s="58">
        <v>4545</v>
      </c>
      <c r="H48" s="58">
        <v>3327</v>
      </c>
      <c r="I48" s="60">
        <f t="shared" si="0"/>
        <v>-1218</v>
      </c>
      <c r="J48" s="3"/>
      <c r="K48" s="3"/>
      <c r="L48" s="3"/>
      <c r="M48" s="3"/>
    </row>
    <row r="49" spans="1:13" x14ac:dyDescent="0.25">
      <c r="A49" s="59" t="s">
        <v>27</v>
      </c>
      <c r="B49" s="176">
        <v>2900</v>
      </c>
      <c r="C49" s="58">
        <v>2125</v>
      </c>
      <c r="D49" s="58">
        <v>2318</v>
      </c>
      <c r="E49" s="58">
        <v>1767</v>
      </c>
      <c r="F49" s="58">
        <v>543</v>
      </c>
      <c r="G49" s="58">
        <v>2319</v>
      </c>
      <c r="H49" s="58">
        <v>2252</v>
      </c>
      <c r="I49" s="60">
        <f t="shared" si="0"/>
        <v>-67</v>
      </c>
      <c r="J49" s="3"/>
      <c r="K49" s="3"/>
      <c r="L49" s="3"/>
      <c r="M49" s="3"/>
    </row>
    <row r="50" spans="1:13" x14ac:dyDescent="0.25">
      <c r="A50" s="57" t="s">
        <v>50</v>
      </c>
      <c r="B50" s="177">
        <v>24971</v>
      </c>
      <c r="C50" s="102">
        <v>23265</v>
      </c>
      <c r="D50" s="102">
        <v>17472</v>
      </c>
      <c r="E50" s="102">
        <v>11306</v>
      </c>
      <c r="F50" s="102">
        <v>14263</v>
      </c>
      <c r="G50" s="102">
        <v>16177</v>
      </c>
      <c r="H50" s="102">
        <v>13161</v>
      </c>
      <c r="I50" s="112">
        <f t="shared" si="0"/>
        <v>-3016</v>
      </c>
      <c r="J50" s="3"/>
      <c r="K50" s="3"/>
      <c r="L50" s="3"/>
      <c r="M50" s="3"/>
    </row>
    <row r="51" spans="1:13" x14ac:dyDescent="0.25">
      <c r="A51" s="59" t="s">
        <v>32</v>
      </c>
      <c r="B51" s="176">
        <v>22808</v>
      </c>
      <c r="C51" s="58">
        <v>20448</v>
      </c>
      <c r="D51" s="58">
        <v>15276</v>
      </c>
      <c r="E51" s="58">
        <v>8979</v>
      </c>
      <c r="F51" s="58">
        <v>9656</v>
      </c>
      <c r="G51" s="58">
        <v>10792</v>
      </c>
      <c r="H51" s="58">
        <v>8387</v>
      </c>
      <c r="I51" s="60">
        <f t="shared" si="0"/>
        <v>-2405</v>
      </c>
      <c r="J51" s="3"/>
      <c r="K51" s="3"/>
      <c r="L51" s="3"/>
      <c r="M51" s="3"/>
    </row>
    <row r="52" spans="1:13" x14ac:dyDescent="0.25">
      <c r="A52" s="59" t="s">
        <v>28</v>
      </c>
      <c r="B52" s="176">
        <v>2163</v>
      </c>
      <c r="C52" s="58">
        <v>2817</v>
      </c>
      <c r="D52" s="58">
        <v>2196</v>
      </c>
      <c r="E52" s="58">
        <v>2327</v>
      </c>
      <c r="F52" s="58">
        <v>2334</v>
      </c>
      <c r="G52" s="58">
        <v>2055</v>
      </c>
      <c r="H52" s="58">
        <v>3586</v>
      </c>
      <c r="I52" s="60">
        <f t="shared" si="0"/>
        <v>1531</v>
      </c>
      <c r="J52" s="3"/>
      <c r="K52" s="3"/>
      <c r="L52" s="3"/>
      <c r="M52" s="3"/>
    </row>
    <row r="53" spans="1:13" x14ac:dyDescent="0.25">
      <c r="A53" s="59" t="s">
        <v>39</v>
      </c>
      <c r="B53" s="176">
        <v>0</v>
      </c>
      <c r="C53" s="58">
        <v>0</v>
      </c>
      <c r="D53" s="58">
        <v>0</v>
      </c>
      <c r="E53" s="58">
        <v>0</v>
      </c>
      <c r="F53" s="58">
        <v>2273</v>
      </c>
      <c r="G53" s="58">
        <v>3330</v>
      </c>
      <c r="H53" s="58">
        <v>1188</v>
      </c>
      <c r="I53" s="58">
        <f t="shared" si="0"/>
        <v>-2142</v>
      </c>
    </row>
    <row r="54" spans="1:13" hidden="1" x14ac:dyDescent="0.25">
      <c r="A54" s="57" t="s">
        <v>134</v>
      </c>
      <c r="B54" s="142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102">
        <f t="shared" si="0"/>
        <v>0</v>
      </c>
    </row>
    <row r="55" spans="1:13" hidden="1" x14ac:dyDescent="0.25">
      <c r="A55" s="59" t="s">
        <v>40</v>
      </c>
      <c r="B55" s="141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f t="shared" si="0"/>
        <v>0</v>
      </c>
    </row>
    <row r="56" spans="1:13" x14ac:dyDescent="0.25">
      <c r="A56" s="57" t="s">
        <v>37</v>
      </c>
      <c r="B56" s="58">
        <v>416393</v>
      </c>
      <c r="C56" s="58">
        <v>321889</v>
      </c>
      <c r="D56" s="58">
        <v>226675</v>
      </c>
      <c r="E56" s="58">
        <v>146615</v>
      </c>
      <c r="F56" s="58">
        <v>142971</v>
      </c>
      <c r="G56" s="58">
        <v>167725</v>
      </c>
      <c r="H56" s="58">
        <v>164018</v>
      </c>
      <c r="I56" s="84">
        <f t="shared" si="0"/>
        <v>-3707</v>
      </c>
    </row>
    <row r="57" spans="1:13" ht="8.1" customHeight="1" x14ac:dyDescent="0.25"/>
    <row r="58" spans="1:13" ht="20.25" customHeight="1" x14ac:dyDescent="0.25">
      <c r="A58" s="99" t="s">
        <v>41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opLeftCell="C1" zoomScaleNormal="100" workbookViewId="0">
      <selection activeCell="B1" sqref="B1"/>
    </sheetView>
  </sheetViews>
  <sheetFormatPr baseColWidth="10" defaultRowHeight="12.75" x14ac:dyDescent="0.25"/>
  <cols>
    <col min="1" max="20" width="10" style="10" customWidth="1"/>
    <col min="21" max="16384" width="11.42578125" style="10"/>
  </cols>
  <sheetData>
    <row r="1" spans="1:21" x14ac:dyDescent="0.25">
      <c r="A1" s="179" t="s">
        <v>94</v>
      </c>
      <c r="B1" s="10" t="s">
        <v>23</v>
      </c>
    </row>
    <row r="2" spans="1:21" s="190" customFormat="1" ht="18" customHeight="1" x14ac:dyDescent="0.25">
      <c r="A2" s="190">
        <v>1</v>
      </c>
      <c r="B2" s="190">
        <v>2</v>
      </c>
      <c r="C2" s="190">
        <v>3</v>
      </c>
      <c r="D2" s="190">
        <v>4</v>
      </c>
      <c r="E2" s="190">
        <v>5</v>
      </c>
      <c r="F2" s="190">
        <v>6</v>
      </c>
      <c r="G2" s="190">
        <v>7</v>
      </c>
      <c r="H2" s="190">
        <v>8</v>
      </c>
      <c r="I2" s="190">
        <v>9</v>
      </c>
      <c r="J2" s="190">
        <v>10</v>
      </c>
      <c r="K2" s="190">
        <v>11</v>
      </c>
      <c r="L2" s="190">
        <v>12</v>
      </c>
      <c r="M2" s="190">
        <v>13</v>
      </c>
      <c r="N2" s="190">
        <v>14</v>
      </c>
      <c r="O2" s="190">
        <v>15</v>
      </c>
      <c r="P2" s="190">
        <v>16</v>
      </c>
      <c r="Q2" s="190">
        <v>17</v>
      </c>
      <c r="R2" s="190">
        <v>18</v>
      </c>
      <c r="S2" s="190">
        <v>19</v>
      </c>
      <c r="T2" s="190">
        <v>20</v>
      </c>
      <c r="U2" s="190">
        <v>21</v>
      </c>
    </row>
    <row r="3" spans="1:21" s="11" customFormat="1" ht="15" customHeight="1" x14ac:dyDescent="0.25">
      <c r="A3" s="181" t="s">
        <v>45</v>
      </c>
      <c r="B3" s="11" t="s">
        <v>262</v>
      </c>
      <c r="C3" s="11" t="s">
        <v>261</v>
      </c>
      <c r="D3" s="11" t="s">
        <v>271</v>
      </c>
      <c r="E3" s="11" t="s">
        <v>279</v>
      </c>
      <c r="F3" s="11" t="s">
        <v>272</v>
      </c>
      <c r="G3" s="11" t="s">
        <v>273</v>
      </c>
      <c r="H3" s="11" t="s">
        <v>274</v>
      </c>
      <c r="I3" s="11" t="s">
        <v>275</v>
      </c>
      <c r="J3" s="11" t="s">
        <v>276</v>
      </c>
      <c r="K3" s="11" t="s">
        <v>277</v>
      </c>
      <c r="L3" s="11" t="s">
        <v>278</v>
      </c>
      <c r="M3" s="11" t="s">
        <v>280</v>
      </c>
      <c r="N3" s="10" t="s">
        <v>281</v>
      </c>
      <c r="O3" s="10" t="s">
        <v>282</v>
      </c>
      <c r="P3" s="10" t="s">
        <v>283</v>
      </c>
      <c r="Q3" s="10" t="s">
        <v>284</v>
      </c>
      <c r="R3" s="10" t="s">
        <v>285</v>
      </c>
      <c r="S3" s="10" t="s">
        <v>286</v>
      </c>
      <c r="T3" s="10" t="s">
        <v>287</v>
      </c>
      <c r="U3" s="10" t="s">
        <v>288</v>
      </c>
    </row>
    <row r="4" spans="1:21" ht="15" customHeight="1" x14ac:dyDescent="0.25">
      <c r="A4" s="182">
        <v>2012</v>
      </c>
      <c r="B4" s="183">
        <v>3.2931749775725736</v>
      </c>
      <c r="C4" s="184">
        <v>94.978540772532199</v>
      </c>
      <c r="D4" s="183">
        <v>6.0119532735669656</v>
      </c>
      <c r="E4" s="185">
        <v>5305</v>
      </c>
      <c r="F4" s="183">
        <v>87.25328947368422</v>
      </c>
      <c r="G4" s="186">
        <v>14.444444444444448</v>
      </c>
      <c r="H4" s="186">
        <v>17.059377945334589</v>
      </c>
      <c r="I4" s="186">
        <v>0</v>
      </c>
      <c r="J4" s="186">
        <v>49.40530649588289</v>
      </c>
      <c r="K4" s="186">
        <v>97.563098346388159</v>
      </c>
      <c r="L4" s="187">
        <v>16816.867106503298</v>
      </c>
      <c r="M4" s="185">
        <v>17.450657894736842</v>
      </c>
      <c r="N4" s="191">
        <v>13.986804901036759</v>
      </c>
      <c r="O4" s="185">
        <v>13.672680412371134</v>
      </c>
      <c r="P4" s="192">
        <v>2</v>
      </c>
      <c r="Q4" s="185">
        <v>4008</v>
      </c>
      <c r="R4" s="185">
        <v>0</v>
      </c>
      <c r="S4" s="185">
        <v>0</v>
      </c>
      <c r="T4" s="186">
        <v>0</v>
      </c>
      <c r="U4" s="186">
        <v>0</v>
      </c>
    </row>
    <row r="5" spans="1:21" x14ac:dyDescent="0.25">
      <c r="A5" s="182">
        <v>2013</v>
      </c>
      <c r="B5" s="183">
        <v>3.3836690194395715</v>
      </c>
      <c r="C5" s="184">
        <v>100</v>
      </c>
      <c r="D5" s="183">
        <v>5.9016035780517067</v>
      </c>
      <c r="E5" s="185">
        <v>5452</v>
      </c>
      <c r="F5" s="183">
        <v>86.265822784810126</v>
      </c>
      <c r="G5" s="186">
        <v>13.741753063147977</v>
      </c>
      <c r="H5" s="186">
        <v>16.709464416727808</v>
      </c>
      <c r="I5" s="186">
        <v>0</v>
      </c>
      <c r="J5" s="186">
        <v>51.892384860921112</v>
      </c>
      <c r="K5" s="186">
        <v>99.351851851851848</v>
      </c>
      <c r="L5" s="187">
        <v>16946.241012472488</v>
      </c>
      <c r="M5" s="185">
        <v>18.418918918918919</v>
      </c>
      <c r="N5" s="191">
        <v>17.791636096845195</v>
      </c>
      <c r="O5" s="185">
        <v>13.169082125603865</v>
      </c>
      <c r="P5" s="192">
        <v>1.5714285714285714</v>
      </c>
      <c r="Q5" s="185">
        <v>3145</v>
      </c>
      <c r="R5" s="185">
        <v>0</v>
      </c>
      <c r="S5" s="185">
        <v>503</v>
      </c>
      <c r="T5" s="186">
        <v>0.40352164343360231</v>
      </c>
      <c r="U5" s="186">
        <v>11.958914159941306</v>
      </c>
    </row>
    <row r="6" spans="1:21" x14ac:dyDescent="0.25">
      <c r="A6" s="182">
        <v>2014</v>
      </c>
      <c r="B6" s="183">
        <v>3.5617293242825547</v>
      </c>
      <c r="C6" s="184">
        <v>100</v>
      </c>
      <c r="D6" s="183">
        <v>5.8281216303644596</v>
      </c>
      <c r="E6" s="185">
        <v>5650</v>
      </c>
      <c r="F6" s="183">
        <v>92.92763157894737</v>
      </c>
      <c r="G6" s="186">
        <v>13.077769625825386</v>
      </c>
      <c r="H6" s="186">
        <v>16.79646017699115</v>
      </c>
      <c r="I6" s="186">
        <v>0</v>
      </c>
      <c r="J6" s="186">
        <v>54.757085020242911</v>
      </c>
      <c r="K6" s="186">
        <v>96.836555360281196</v>
      </c>
      <c r="L6" s="187">
        <v>16761.894867256637</v>
      </c>
      <c r="M6" s="185">
        <v>19.023569023569024</v>
      </c>
      <c r="N6" s="191">
        <v>8.4070796460176993</v>
      </c>
      <c r="O6" s="185">
        <v>11.368209255533198</v>
      </c>
      <c r="P6" s="192">
        <v>1.4724409448818898</v>
      </c>
      <c r="Q6" s="185">
        <v>1647</v>
      </c>
      <c r="R6" s="185">
        <v>0</v>
      </c>
      <c r="S6" s="185">
        <v>494</v>
      </c>
      <c r="T6" s="186">
        <v>0.31858407079646017</v>
      </c>
      <c r="U6" s="186">
        <v>66.247787610619469</v>
      </c>
    </row>
    <row r="7" spans="1:21" x14ac:dyDescent="0.25">
      <c r="A7" s="182">
        <v>2015</v>
      </c>
      <c r="B7" s="183">
        <v>3.5601737520163219</v>
      </c>
      <c r="C7" s="184">
        <v>0</v>
      </c>
      <c r="D7" s="183">
        <v>5.3210109920884969</v>
      </c>
      <c r="E7" s="185">
        <v>5739</v>
      </c>
      <c r="F7" s="183">
        <v>94.391447368421055</v>
      </c>
      <c r="G7" s="186">
        <v>12.672566371681416</v>
      </c>
      <c r="H7" s="186">
        <v>36.50461752918627</v>
      </c>
      <c r="I7" s="186">
        <v>0</v>
      </c>
      <c r="J7" s="186">
        <v>59.602349751468594</v>
      </c>
      <c r="K7" s="186">
        <v>97.504621072088725</v>
      </c>
      <c r="L7" s="187">
        <v>16979.924899808328</v>
      </c>
      <c r="M7" s="185">
        <v>19.454237288135594</v>
      </c>
      <c r="N7" s="191">
        <v>6.3251437532671195</v>
      </c>
      <c r="O7" s="185">
        <v>11.54728370221328</v>
      </c>
      <c r="P7" s="192">
        <v>1.4724409448818898</v>
      </c>
      <c r="Q7" s="185">
        <v>682</v>
      </c>
      <c r="R7" s="185">
        <v>0</v>
      </c>
      <c r="S7" s="185">
        <v>221</v>
      </c>
      <c r="T7" s="186">
        <v>0</v>
      </c>
      <c r="U7" s="186">
        <v>66.199999999999989</v>
      </c>
    </row>
    <row r="8" spans="1:21" x14ac:dyDescent="0.25">
      <c r="A8" s="182">
        <v>2016</v>
      </c>
      <c r="B8" s="183">
        <v>3.5292418708898343</v>
      </c>
      <c r="C8" s="184">
        <v>97.233748271092665</v>
      </c>
      <c r="D8" s="183">
        <v>5.0827850480803987</v>
      </c>
      <c r="E8" s="185">
        <v>5584</v>
      </c>
      <c r="F8" s="183">
        <v>91.84210526315789</v>
      </c>
      <c r="G8" s="186">
        <v>13.451820874716846</v>
      </c>
      <c r="H8" s="186">
        <v>26.07449856733524</v>
      </c>
      <c r="I8" s="186">
        <v>61.993927125506076</v>
      </c>
      <c r="J8" s="186">
        <v>61.968576709796672</v>
      </c>
      <c r="K8" s="186">
        <v>96.133434420015163</v>
      </c>
      <c r="L8" s="187">
        <v>19092.021755014328</v>
      </c>
      <c r="M8" s="185">
        <v>19.058020477815699</v>
      </c>
      <c r="N8" s="191">
        <v>4.8352435530085964</v>
      </c>
      <c r="O8" s="185">
        <v>11.537190082644628</v>
      </c>
      <c r="P8" s="192">
        <v>1.8155339805825244</v>
      </c>
      <c r="Q8" s="185">
        <v>1976</v>
      </c>
      <c r="R8" s="185">
        <v>0</v>
      </c>
      <c r="S8" s="185">
        <v>28</v>
      </c>
      <c r="T8" s="186">
        <v>2.3101719197707737</v>
      </c>
      <c r="U8" s="186">
        <v>65.3</v>
      </c>
    </row>
    <row r="9" spans="1:21" x14ac:dyDescent="0.25">
      <c r="A9" s="182">
        <v>2017</v>
      </c>
      <c r="B9" s="183">
        <v>3.6598557729650807</v>
      </c>
      <c r="C9" s="184">
        <v>99.954689623923869</v>
      </c>
      <c r="D9" s="183">
        <v>5.471908718839142</v>
      </c>
      <c r="E9" s="185">
        <v>5685</v>
      </c>
      <c r="F9" s="183">
        <v>79.845505617977537</v>
      </c>
      <c r="G9" s="186">
        <v>12.625358166189116</v>
      </c>
      <c r="H9" s="186">
        <v>33.368513632365875</v>
      </c>
      <c r="I9" s="186">
        <v>65.793041120650699</v>
      </c>
      <c r="J9" s="186">
        <v>60.268270120259018</v>
      </c>
      <c r="K9" s="186">
        <v>94.705443698732296</v>
      </c>
      <c r="L9" s="187">
        <v>19284.007549692175</v>
      </c>
      <c r="M9" s="185">
        <v>19.336734693877553</v>
      </c>
      <c r="N9" s="191">
        <v>6.244503078276165</v>
      </c>
      <c r="O9" s="185">
        <v>11.745867768595041</v>
      </c>
      <c r="P9" s="192">
        <v>1.8155339805825244</v>
      </c>
      <c r="Q9" s="185">
        <v>1011</v>
      </c>
      <c r="R9" s="185">
        <v>0</v>
      </c>
      <c r="S9" s="185">
        <v>8</v>
      </c>
      <c r="T9" s="186">
        <v>7.036059806508356E-2</v>
      </c>
      <c r="U9" s="186">
        <v>65.7</v>
      </c>
    </row>
    <row r="10" spans="1:21" x14ac:dyDescent="0.25">
      <c r="A10" s="182">
        <v>2018</v>
      </c>
      <c r="B10" s="183">
        <v>3.7082124213714782</v>
      </c>
      <c r="C10" s="184">
        <v>100</v>
      </c>
      <c r="D10" s="183">
        <v>4.9960022290601609</v>
      </c>
      <c r="E10" s="185">
        <v>5608</v>
      </c>
      <c r="F10" s="183">
        <v>79.659090909090907</v>
      </c>
      <c r="G10" s="186">
        <v>10.765171503957783</v>
      </c>
      <c r="H10" s="186">
        <v>36.037803138373754</v>
      </c>
      <c r="I10" s="186">
        <v>66.266173752310536</v>
      </c>
      <c r="J10" s="186">
        <v>61.315789473684212</v>
      </c>
      <c r="K10" s="186">
        <v>91.711435149654648</v>
      </c>
      <c r="L10" s="187">
        <v>20120.386208987162</v>
      </c>
      <c r="M10" s="185">
        <v>19.07482993197279</v>
      </c>
      <c r="N10" s="191">
        <v>3.049215406562054</v>
      </c>
      <c r="O10" s="185">
        <v>11.586776859504132</v>
      </c>
      <c r="P10" s="192">
        <v>1.8155339805825244</v>
      </c>
      <c r="Q10" s="185">
        <v>430</v>
      </c>
      <c r="R10" s="185">
        <v>0</v>
      </c>
      <c r="S10" s="185">
        <v>71</v>
      </c>
      <c r="T10" s="186">
        <v>0.48145506419400852</v>
      </c>
      <c r="U10" s="186">
        <v>65.67</v>
      </c>
    </row>
    <row r="11" spans="1:21" x14ac:dyDescent="0.2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21" x14ac:dyDescent="0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21" x14ac:dyDescent="0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21" x14ac:dyDescent="0.2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21" x14ac:dyDescent="0.25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21" x14ac:dyDescent="0.2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x14ac:dyDescent="0.2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x14ac:dyDescent="0.2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x14ac:dyDescent="0.25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x14ac:dyDescent="0.2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x14ac:dyDescent="0.2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x14ac:dyDescent="0.2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x14ac:dyDescent="0.2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x14ac:dyDescent="0.2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3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1:13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  <row r="28" spans="1:13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1:13" x14ac:dyDescent="0.2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13" x14ac:dyDescent="0.2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1:13" x14ac:dyDescent="0.2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1:13" x14ac:dyDescent="0.2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</row>
    <row r="33" spans="1:13" x14ac:dyDescent="0.2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</row>
    <row r="34" spans="1:13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</row>
    <row r="35" spans="1:13" x14ac:dyDescent="0.2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3" x14ac:dyDescent="0.25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13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hidden="1" x14ac:dyDescent="0.25">
      <c r="A39" s="180"/>
      <c r="B39" s="180"/>
      <c r="C39" s="180"/>
      <c r="D39" s="180"/>
      <c r="E39" s="180"/>
      <c r="F39" s="180"/>
      <c r="G39" s="180"/>
    </row>
    <row r="40" spans="1:13" hidden="1" x14ac:dyDescent="0.25">
      <c r="A40" s="180"/>
      <c r="B40" s="180"/>
      <c r="C40" s="180"/>
      <c r="D40" s="180"/>
      <c r="E40" s="180"/>
      <c r="F40" s="180"/>
      <c r="G40" s="180"/>
    </row>
    <row r="41" spans="1:13" hidden="1" x14ac:dyDescent="0.25">
      <c r="A41" s="180"/>
      <c r="B41" s="180"/>
      <c r="C41" s="180"/>
      <c r="D41" s="180"/>
      <c r="E41" s="180"/>
      <c r="F41" s="180"/>
      <c r="G41" s="180"/>
    </row>
    <row r="42" spans="1:13" hidden="1" x14ac:dyDescent="0.25">
      <c r="A42" s="180"/>
      <c r="B42" s="180"/>
      <c r="C42" s="180"/>
      <c r="D42" s="180"/>
      <c r="E42" s="180"/>
      <c r="F42" s="180"/>
      <c r="G42" s="180"/>
    </row>
    <row r="43" spans="1:13" ht="6" customHeight="1" x14ac:dyDescent="0.25"/>
    <row r="44" spans="1:13" ht="24" customHeight="1" x14ac:dyDescent="0.25">
      <c r="A44" s="188" t="s">
        <v>167</v>
      </c>
      <c r="B44" s="189"/>
      <c r="C44" s="189"/>
      <c r="D44" s="189"/>
      <c r="E44" s="189"/>
      <c r="F44" s="189"/>
      <c r="G44" s="189"/>
    </row>
  </sheetData>
  <pageMargins left="0.51181102362204722" right="0.51181102362204722" top="0.55118110236220474" bottom="0.55118110236220474" header="0.31496062992125984" footer="0.31496062992125984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7" zoomScale="120" zoomScaleNormal="120" workbookViewId="0">
      <selection activeCell="M14" sqref="M14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199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0">
        <f>$B$56</f>
        <v>16953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0">
        <f>$C$56</f>
        <v>14474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0">
        <f>$D$56</f>
        <v>15371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0">
        <f>$E$56</f>
        <v>14532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0">
        <f>$F$56</f>
        <v>14606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0">
        <f>$G$56</f>
        <v>16625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0">
        <f>$H$56</f>
        <v>20186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110">
        <f>B14-B13</f>
        <v>3561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200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58">
        <v>16953</v>
      </c>
      <c r="C19" s="58">
        <v>14474</v>
      </c>
      <c r="D19" s="58">
        <v>15371</v>
      </c>
      <c r="E19" s="58">
        <v>14532</v>
      </c>
      <c r="F19" s="58">
        <v>14606</v>
      </c>
      <c r="G19" s="58">
        <v>16625</v>
      </c>
      <c r="H19" s="58">
        <v>20186</v>
      </c>
      <c r="I19" s="111">
        <f>H19-G19</f>
        <v>3561</v>
      </c>
      <c r="J19" s="3"/>
      <c r="K19" s="3"/>
      <c r="L19" s="3"/>
      <c r="M19" s="3"/>
      <c r="N19" s="3"/>
      <c r="O19" s="3"/>
    </row>
    <row r="20" spans="1:15" hidden="1" x14ac:dyDescent="0.25">
      <c r="A20" s="59" t="s">
        <v>1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60">
        <f t="shared" ref="I20:I56" si="0">H20-G20</f>
        <v>0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58">
        <v>2528</v>
      </c>
      <c r="C21" s="58">
        <v>1693</v>
      </c>
      <c r="D21" s="58">
        <v>998</v>
      </c>
      <c r="E21" s="58">
        <v>1083</v>
      </c>
      <c r="F21" s="58">
        <v>248</v>
      </c>
      <c r="G21" s="58">
        <v>254</v>
      </c>
      <c r="H21" s="58">
        <v>191</v>
      </c>
      <c r="I21" s="60">
        <f t="shared" si="0"/>
        <v>-63</v>
      </c>
      <c r="J21" s="3"/>
      <c r="K21" s="3"/>
      <c r="L21" s="3"/>
      <c r="M21" s="3"/>
      <c r="N21" s="3"/>
      <c r="O21" s="3"/>
    </row>
    <row r="22" spans="1:15" hidden="1" x14ac:dyDescent="0.25">
      <c r="A22" s="59" t="s">
        <v>4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60">
        <f t="shared" si="0"/>
        <v>0</v>
      </c>
      <c r="J22" s="3"/>
      <c r="K22" s="3"/>
      <c r="L22" s="3"/>
      <c r="M22" s="3"/>
      <c r="N22" s="3"/>
      <c r="O22" s="3"/>
    </row>
    <row r="23" spans="1:15" hidden="1" x14ac:dyDescent="0.25">
      <c r="A23" s="59" t="s">
        <v>5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60">
        <f t="shared" si="0"/>
        <v>0</v>
      </c>
      <c r="J23" s="3"/>
      <c r="K23" s="3"/>
      <c r="L23" s="3"/>
      <c r="M23" s="3"/>
      <c r="N23" s="3"/>
      <c r="O23" s="3"/>
    </row>
    <row r="24" spans="1:15" hidden="1" x14ac:dyDescent="0.25">
      <c r="A24" s="59" t="s">
        <v>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60">
        <f t="shared" si="0"/>
        <v>0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58">
        <v>1190</v>
      </c>
      <c r="C25" s="58">
        <v>962</v>
      </c>
      <c r="D25" s="58">
        <v>1059</v>
      </c>
      <c r="E25" s="58">
        <v>851</v>
      </c>
      <c r="F25" s="58">
        <v>830</v>
      </c>
      <c r="G25" s="58">
        <v>688</v>
      </c>
      <c r="H25" s="58">
        <v>898</v>
      </c>
      <c r="I25" s="60">
        <f t="shared" si="0"/>
        <v>210</v>
      </c>
      <c r="J25" s="3"/>
      <c r="K25" s="3"/>
      <c r="L25" s="3"/>
      <c r="M25" s="3"/>
      <c r="N25" s="3"/>
      <c r="O25" s="3"/>
    </row>
    <row r="26" spans="1:15" hidden="1" x14ac:dyDescent="0.25">
      <c r="A26" s="59" t="s">
        <v>31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60">
        <f t="shared" si="0"/>
        <v>0</v>
      </c>
      <c r="J26" s="3"/>
      <c r="K26" s="3"/>
      <c r="L26" s="3"/>
      <c r="M26" s="3"/>
      <c r="N26" s="3"/>
      <c r="O26" s="3"/>
    </row>
    <row r="27" spans="1:15" hidden="1" x14ac:dyDescent="0.25">
      <c r="A27" s="59" t="s">
        <v>8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60">
        <f t="shared" si="0"/>
        <v>0</v>
      </c>
      <c r="J27" s="3"/>
      <c r="K27" s="3"/>
      <c r="L27" s="3"/>
      <c r="M27" s="3"/>
      <c r="N27" s="3"/>
      <c r="O27" s="3"/>
    </row>
    <row r="28" spans="1:15" hidden="1" x14ac:dyDescent="0.25">
      <c r="A28" s="59" t="s">
        <v>9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60">
        <f t="shared" si="0"/>
        <v>0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58">
        <v>9342</v>
      </c>
      <c r="C29" s="58">
        <v>8974</v>
      </c>
      <c r="D29" s="58">
        <v>10952</v>
      </c>
      <c r="E29" s="58">
        <v>9386</v>
      </c>
      <c r="F29" s="58">
        <v>10325</v>
      </c>
      <c r="G29" s="58">
        <v>12897</v>
      </c>
      <c r="H29" s="58">
        <v>16429</v>
      </c>
      <c r="I29" s="60">
        <f t="shared" si="0"/>
        <v>3532</v>
      </c>
      <c r="J29" s="3"/>
      <c r="K29" s="3"/>
      <c r="L29" s="3"/>
      <c r="M29" s="3"/>
      <c r="N29" s="3"/>
      <c r="O29" s="3"/>
    </row>
    <row r="30" spans="1:15" hidden="1" x14ac:dyDescent="0.25">
      <c r="A30" s="59" t="s">
        <v>11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60">
        <f t="shared" si="0"/>
        <v>0</v>
      </c>
      <c r="J30" s="3"/>
      <c r="K30" s="3"/>
      <c r="L30" s="3"/>
      <c r="M30" s="3"/>
      <c r="N30" s="3"/>
      <c r="O30" s="3"/>
    </row>
    <row r="31" spans="1:15" hidden="1" x14ac:dyDescent="0.25">
      <c r="A31" s="59" t="s">
        <v>12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60">
        <f t="shared" si="0"/>
        <v>0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58">
        <v>479</v>
      </c>
      <c r="C32" s="58">
        <v>427</v>
      </c>
      <c r="D32" s="58">
        <v>491</v>
      </c>
      <c r="E32" s="58">
        <v>446</v>
      </c>
      <c r="F32" s="58">
        <v>523</v>
      </c>
      <c r="G32" s="58">
        <v>504</v>
      </c>
      <c r="H32" s="58">
        <v>602</v>
      </c>
      <c r="I32" s="60">
        <f t="shared" si="0"/>
        <v>98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58">
        <v>2000</v>
      </c>
      <c r="C33" s="58">
        <v>582</v>
      </c>
      <c r="D33" s="58">
        <v>671</v>
      </c>
      <c r="E33" s="58">
        <v>801</v>
      </c>
      <c r="F33" s="58">
        <v>928</v>
      </c>
      <c r="G33" s="58">
        <v>429</v>
      </c>
      <c r="H33" s="58">
        <v>816</v>
      </c>
      <c r="I33" s="60">
        <f t="shared" si="0"/>
        <v>387</v>
      </c>
      <c r="J33" s="3"/>
      <c r="K33" s="3"/>
      <c r="L33" s="3"/>
      <c r="M33" s="3"/>
      <c r="N33" s="3"/>
      <c r="O33" s="3"/>
    </row>
    <row r="34" spans="1:15" hidden="1" x14ac:dyDescent="0.25">
      <c r="A34" s="59" t="s">
        <v>30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60">
        <f t="shared" si="0"/>
        <v>0</v>
      </c>
      <c r="J34" s="3"/>
      <c r="K34" s="3"/>
      <c r="L34" s="3"/>
      <c r="M34" s="3"/>
      <c r="N34" s="3"/>
      <c r="O34" s="3"/>
    </row>
    <row r="35" spans="1:15" hidden="1" x14ac:dyDescent="0.25">
      <c r="A35" s="59" t="s">
        <v>15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60">
        <f t="shared" si="0"/>
        <v>0</v>
      </c>
      <c r="J35" s="3"/>
      <c r="K35" s="3"/>
      <c r="L35" s="3"/>
      <c r="M35" s="3"/>
      <c r="N35" s="3"/>
      <c r="O35" s="3"/>
    </row>
    <row r="36" spans="1:15" hidden="1" x14ac:dyDescent="0.25">
      <c r="A36" s="59" t="s">
        <v>16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60">
        <f t="shared" si="0"/>
        <v>0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58">
        <v>847</v>
      </c>
      <c r="C37" s="58">
        <v>617</v>
      </c>
      <c r="D37" s="58">
        <v>588</v>
      </c>
      <c r="E37" s="58">
        <v>1193</v>
      </c>
      <c r="F37" s="58">
        <v>459</v>
      </c>
      <c r="G37" s="58">
        <v>511</v>
      </c>
      <c r="H37" s="58">
        <v>426</v>
      </c>
      <c r="I37" s="60">
        <f t="shared" si="0"/>
        <v>-85</v>
      </c>
      <c r="J37" s="3"/>
      <c r="K37" s="3"/>
      <c r="L37" s="3"/>
      <c r="M37" s="3"/>
      <c r="N37" s="3"/>
      <c r="O37" s="3"/>
    </row>
    <row r="38" spans="1:15" hidden="1" x14ac:dyDescent="0.25">
      <c r="A38" s="59" t="s">
        <v>18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60">
        <f t="shared" si="0"/>
        <v>0</v>
      </c>
      <c r="J38" s="3"/>
      <c r="K38" s="3"/>
      <c r="L38" s="3"/>
      <c r="M38" s="3"/>
      <c r="N38" s="3"/>
      <c r="O38" s="3"/>
    </row>
    <row r="39" spans="1:15" hidden="1" x14ac:dyDescent="0.25">
      <c r="A39" s="59" t="s">
        <v>29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60">
        <f t="shared" si="0"/>
        <v>0</v>
      </c>
      <c r="J39" s="3"/>
      <c r="K39" s="3"/>
      <c r="L39" s="3"/>
      <c r="M39" s="3"/>
      <c r="N39" s="3"/>
      <c r="O39" s="3"/>
    </row>
    <row r="40" spans="1:15" hidden="1" x14ac:dyDescent="0.25">
      <c r="A40" s="59" t="s">
        <v>19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60">
        <f t="shared" si="0"/>
        <v>0</v>
      </c>
      <c r="J40" s="3"/>
      <c r="K40" s="3"/>
      <c r="L40" s="3"/>
      <c r="M40" s="3"/>
      <c r="N40" s="3"/>
      <c r="O40" s="3"/>
    </row>
    <row r="41" spans="1:15" hidden="1" x14ac:dyDescent="0.25">
      <c r="A41" s="59" t="s">
        <v>20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60">
        <f t="shared" si="0"/>
        <v>0</v>
      </c>
      <c r="J41" s="3"/>
      <c r="K41" s="3"/>
      <c r="L41" s="3"/>
      <c r="M41" s="3"/>
      <c r="N41" s="3"/>
      <c r="O41" s="3"/>
    </row>
    <row r="42" spans="1:15" hidden="1" x14ac:dyDescent="0.25">
      <c r="A42" s="59" t="s">
        <v>21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60">
        <f t="shared" si="0"/>
        <v>0</v>
      </c>
      <c r="J42" s="3"/>
      <c r="K42" s="3"/>
      <c r="L42" s="3"/>
      <c r="M42" s="3"/>
      <c r="N42" s="3"/>
      <c r="O42" s="3"/>
    </row>
    <row r="43" spans="1:15" hidden="1" x14ac:dyDescent="0.25">
      <c r="A43" s="59" t="s">
        <v>22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60">
        <f t="shared" si="0"/>
        <v>0</v>
      </c>
      <c r="J43" s="3"/>
      <c r="K43" s="3"/>
      <c r="L43" s="3"/>
      <c r="M43" s="3"/>
      <c r="N43" s="3"/>
      <c r="O43" s="3"/>
    </row>
    <row r="44" spans="1:15" hidden="1" x14ac:dyDescent="0.25">
      <c r="A44" s="59" t="s">
        <v>23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60">
        <f t="shared" si="0"/>
        <v>0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58">
        <v>15</v>
      </c>
      <c r="C45" s="58">
        <v>34</v>
      </c>
      <c r="D45" s="58">
        <v>49</v>
      </c>
      <c r="E45" s="58">
        <v>218</v>
      </c>
      <c r="F45" s="58">
        <v>692</v>
      </c>
      <c r="G45" s="58">
        <v>711</v>
      </c>
      <c r="H45" s="58">
        <v>104</v>
      </c>
      <c r="I45" s="60">
        <f t="shared" si="0"/>
        <v>-607</v>
      </c>
      <c r="J45" s="3"/>
      <c r="K45" s="3"/>
      <c r="L45" s="3"/>
      <c r="M45" s="3"/>
      <c r="N45" s="3"/>
      <c r="O45" s="3"/>
    </row>
    <row r="46" spans="1:15" hidden="1" x14ac:dyDescent="0.25">
      <c r="A46" s="59" t="s">
        <v>25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60">
        <f t="shared" si="0"/>
        <v>0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58">
        <v>552</v>
      </c>
      <c r="C47" s="58">
        <v>1185</v>
      </c>
      <c r="D47" s="58">
        <v>563</v>
      </c>
      <c r="E47" s="58">
        <v>554</v>
      </c>
      <c r="F47" s="58">
        <v>601</v>
      </c>
      <c r="G47" s="58">
        <v>631</v>
      </c>
      <c r="H47" s="58">
        <v>720</v>
      </c>
      <c r="I47" s="60">
        <f t="shared" si="0"/>
        <v>89</v>
      </c>
      <c r="J47" s="3"/>
      <c r="K47" s="3"/>
      <c r="L47" s="3"/>
      <c r="M47" s="3"/>
      <c r="N47" s="3"/>
      <c r="O47" s="3"/>
    </row>
    <row r="48" spans="1:15" hidden="1" x14ac:dyDescent="0.25">
      <c r="A48" s="59" t="s">
        <v>26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60">
        <f t="shared" si="0"/>
        <v>0</v>
      </c>
      <c r="J48" s="3"/>
      <c r="K48" s="3"/>
      <c r="L48" s="3"/>
      <c r="M48" s="3"/>
      <c r="N48" s="3"/>
      <c r="O48" s="3"/>
    </row>
    <row r="49" spans="1:15" hidden="1" x14ac:dyDescent="0.25">
      <c r="A49" s="59" t="s">
        <v>27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60">
        <f t="shared" si="0"/>
        <v>0</v>
      </c>
      <c r="J49" s="3"/>
      <c r="K49" s="3"/>
      <c r="L49" s="3"/>
      <c r="M49" s="3"/>
      <c r="N49" s="3"/>
      <c r="O49" s="3"/>
    </row>
    <row r="50" spans="1:15" hidden="1" x14ac:dyDescent="0.25">
      <c r="A50" s="57" t="s">
        <v>50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12">
        <f t="shared" si="0"/>
        <v>0</v>
      </c>
      <c r="J50" s="3"/>
      <c r="K50" s="3"/>
      <c r="L50" s="3"/>
      <c r="M50" s="3"/>
      <c r="N50" s="3"/>
      <c r="O50" s="3"/>
    </row>
    <row r="51" spans="1:15" hidden="1" x14ac:dyDescent="0.25">
      <c r="A51" s="59" t="s">
        <v>32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60">
        <f t="shared" si="0"/>
        <v>0</v>
      </c>
      <c r="J51" s="3"/>
      <c r="K51" s="3"/>
      <c r="L51" s="3"/>
      <c r="M51" s="3"/>
      <c r="N51" s="3"/>
      <c r="O51" s="3"/>
    </row>
    <row r="52" spans="1:15" hidden="1" x14ac:dyDescent="0.25">
      <c r="A52" s="59" t="s">
        <v>28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60">
        <f t="shared" si="0"/>
        <v>0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83">
        <f t="shared" si="0"/>
        <v>0</v>
      </c>
    </row>
    <row r="54" spans="1:15" hidden="1" x14ac:dyDescent="0.25">
      <c r="A54" s="57" t="s">
        <v>134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3">
        <f t="shared" si="0"/>
        <v>0</v>
      </c>
    </row>
    <row r="55" spans="1:15" hidden="1" x14ac:dyDescent="0.25">
      <c r="A55" s="59" t="s">
        <v>40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84">
        <f t="shared" si="0"/>
        <v>0</v>
      </c>
    </row>
    <row r="56" spans="1:15" hidden="1" x14ac:dyDescent="0.25">
      <c r="A56" s="57" t="s">
        <v>37</v>
      </c>
      <c r="B56" s="58">
        <v>16953</v>
      </c>
      <c r="C56" s="58">
        <v>14474</v>
      </c>
      <c r="D56" s="58">
        <v>15371</v>
      </c>
      <c r="E56" s="58">
        <v>14532</v>
      </c>
      <c r="F56" s="58">
        <v>14606</v>
      </c>
      <c r="G56" s="58">
        <v>16625</v>
      </c>
      <c r="H56" s="58">
        <v>20186</v>
      </c>
      <c r="I56" s="84">
        <f t="shared" si="0"/>
        <v>3561</v>
      </c>
    </row>
    <row r="57" spans="1:15" ht="8.1" customHeight="1" x14ac:dyDescent="0.25"/>
    <row r="58" spans="1:15" ht="24" customHeight="1" x14ac:dyDescent="0.25">
      <c r="A58" s="99" t="s">
        <v>201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="120" zoomScaleNormal="120" zoomScaleSheetLayoutView="120" workbookViewId="0">
      <selection activeCell="A5" sqref="A5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20.140625" style="56" bestFit="1" customWidth="1"/>
    <col min="15" max="15" width="16.5703125" style="56" bestFit="1" customWidth="1"/>
    <col min="16" max="16384" width="11.42578125" style="56"/>
  </cols>
  <sheetData>
    <row r="1" spans="1:9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9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9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9" s="4" customFormat="1" ht="6.75" customHeight="1" x14ac:dyDescent="0.35">
      <c r="B4" s="1"/>
      <c r="C4" s="1"/>
      <c r="D4" s="1"/>
      <c r="E4" s="1"/>
      <c r="F4" s="1"/>
      <c r="G4" s="1"/>
      <c r="H4" s="72"/>
      <c r="I4" s="6"/>
    </row>
    <row r="5" spans="1:9" s="4" customFormat="1" ht="13.5" customHeight="1" x14ac:dyDescent="0.25">
      <c r="A5" s="90" t="s">
        <v>203</v>
      </c>
      <c r="B5" s="90"/>
      <c r="C5" s="90"/>
      <c r="D5" s="90"/>
      <c r="E5" s="90"/>
      <c r="F5" s="90"/>
      <c r="G5" s="90"/>
      <c r="H5" s="91"/>
      <c r="I5" s="91"/>
    </row>
    <row r="6" spans="1:9" s="4" customFormat="1" ht="6.75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9" s="77" customFormat="1" ht="14.1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9" s="77" customFormat="1" ht="14.1" hidden="1" customHeight="1" x14ac:dyDescent="0.35">
      <c r="A8" s="86">
        <v>2012</v>
      </c>
      <c r="B8" s="110">
        <f>$B$56</f>
        <v>0</v>
      </c>
      <c r="C8" s="78"/>
      <c r="D8" s="76"/>
      <c r="E8" s="72"/>
      <c r="F8" s="72"/>
      <c r="G8" s="72"/>
      <c r="H8" s="72"/>
      <c r="I8" s="6"/>
    </row>
    <row r="9" spans="1:9" s="77" customFormat="1" ht="14.1" customHeight="1" x14ac:dyDescent="0.35">
      <c r="A9" s="86">
        <v>2013</v>
      </c>
      <c r="B9" s="110">
        <f>$C$56</f>
        <v>68182</v>
      </c>
      <c r="C9" s="76"/>
      <c r="D9" s="76"/>
      <c r="E9" s="72"/>
      <c r="F9" s="72"/>
      <c r="G9" s="72"/>
      <c r="H9" s="72"/>
      <c r="I9" s="6"/>
    </row>
    <row r="10" spans="1:9" s="77" customFormat="1" ht="14.1" customHeight="1" x14ac:dyDescent="0.35">
      <c r="A10" s="86">
        <v>2014</v>
      </c>
      <c r="B10" s="110">
        <f>$D$56</f>
        <v>70549</v>
      </c>
      <c r="C10" s="76"/>
      <c r="D10" s="76"/>
      <c r="E10" s="72"/>
      <c r="F10" s="72"/>
      <c r="G10" s="72"/>
      <c r="H10" s="72"/>
      <c r="I10" s="6"/>
    </row>
    <row r="11" spans="1:9" s="77" customFormat="1" ht="14.1" customHeight="1" x14ac:dyDescent="0.35">
      <c r="A11" s="86">
        <v>2015</v>
      </c>
      <c r="B11" s="110">
        <f>$E$56</f>
        <v>64633</v>
      </c>
      <c r="C11" s="76"/>
      <c r="D11" s="76"/>
      <c r="E11" s="72"/>
      <c r="F11" s="72"/>
      <c r="G11" s="72"/>
      <c r="H11" s="72"/>
      <c r="I11" s="6"/>
    </row>
    <row r="12" spans="1:9" s="77" customFormat="1" ht="14.1" customHeight="1" x14ac:dyDescent="0.35">
      <c r="A12" s="86">
        <v>2016</v>
      </c>
      <c r="B12" s="110">
        <f>$F$56</f>
        <v>74753</v>
      </c>
      <c r="C12" s="76"/>
      <c r="D12" s="76"/>
      <c r="E12" s="72"/>
      <c r="F12" s="72"/>
      <c r="G12" s="72"/>
      <c r="H12" s="72"/>
      <c r="I12" s="6"/>
    </row>
    <row r="13" spans="1:9" s="77" customFormat="1" ht="14.1" customHeight="1" x14ac:dyDescent="0.35">
      <c r="A13" s="86">
        <v>2017</v>
      </c>
      <c r="B13" s="110">
        <f>$G$56</f>
        <v>121394</v>
      </c>
      <c r="C13" s="76"/>
      <c r="D13" s="76"/>
      <c r="E13" s="72"/>
      <c r="F13" s="72"/>
      <c r="G13" s="72"/>
      <c r="H13" s="72"/>
      <c r="I13" s="6"/>
    </row>
    <row r="14" spans="1:9" s="77" customFormat="1" ht="14.1" customHeight="1" x14ac:dyDescent="0.35">
      <c r="A14" s="86">
        <v>2018</v>
      </c>
      <c r="B14" s="110">
        <f>$H$56</f>
        <v>163434</v>
      </c>
      <c r="C14" s="76"/>
      <c r="D14" s="76"/>
      <c r="E14" s="72"/>
      <c r="F14" s="72"/>
      <c r="G14" s="72"/>
      <c r="H14" s="72"/>
      <c r="I14" s="6"/>
    </row>
    <row r="15" spans="1:9" s="77" customFormat="1" ht="14.1" customHeight="1" x14ac:dyDescent="0.35">
      <c r="A15" s="88" t="s">
        <v>47</v>
      </c>
      <c r="B15" s="110">
        <f>B14-B13</f>
        <v>42040</v>
      </c>
      <c r="C15" s="76"/>
      <c r="D15" s="76"/>
      <c r="E15" s="72"/>
      <c r="F15" s="72"/>
      <c r="G15" s="72"/>
      <c r="H15" s="72"/>
      <c r="I15" s="6"/>
    </row>
    <row r="16" spans="1:9" s="4" customFormat="1" ht="6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3" hidden="1" x14ac:dyDescent="0.25">
      <c r="A17" s="94" t="s">
        <v>204</v>
      </c>
      <c r="B17" s="55" t="s">
        <v>45</v>
      </c>
      <c r="I17" s="92" t="s">
        <v>170</v>
      </c>
      <c r="J17" s="3"/>
      <c r="K17" s="3"/>
      <c r="L17" s="3"/>
      <c r="M17" s="3"/>
    </row>
    <row r="18" spans="1:13" x14ac:dyDescent="0.25">
      <c r="A18" s="55" t="s">
        <v>168</v>
      </c>
      <c r="B18" s="140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</row>
    <row r="19" spans="1:13" x14ac:dyDescent="0.25">
      <c r="A19" s="57" t="s">
        <v>49</v>
      </c>
      <c r="B19" s="141">
        <v>0</v>
      </c>
      <c r="C19" s="58">
        <v>66277</v>
      </c>
      <c r="D19" s="58">
        <v>66944</v>
      </c>
      <c r="E19" s="58">
        <v>61954</v>
      </c>
      <c r="F19" s="58">
        <v>73591</v>
      </c>
      <c r="G19" s="58">
        <v>118876</v>
      </c>
      <c r="H19" s="58">
        <v>151410</v>
      </c>
      <c r="I19" s="111">
        <f>H19-G19</f>
        <v>32534</v>
      </c>
      <c r="J19" s="3"/>
      <c r="K19" s="3"/>
      <c r="L19" s="3"/>
      <c r="M19" s="3"/>
    </row>
    <row r="20" spans="1:13" x14ac:dyDescent="0.25">
      <c r="A20" s="59" t="s">
        <v>1</v>
      </c>
      <c r="B20" s="142">
        <v>0</v>
      </c>
      <c r="C20" s="58">
        <v>327</v>
      </c>
      <c r="D20" s="58">
        <v>513</v>
      </c>
      <c r="E20" s="58">
        <v>486</v>
      </c>
      <c r="F20" s="58">
        <v>1257</v>
      </c>
      <c r="G20" s="58">
        <v>861</v>
      </c>
      <c r="H20" s="58">
        <v>1532</v>
      </c>
      <c r="I20" s="60">
        <f t="shared" ref="I20:I56" si="0">H20-G20</f>
        <v>671</v>
      </c>
      <c r="J20" s="3"/>
      <c r="K20" s="3"/>
      <c r="L20" s="3"/>
      <c r="M20" s="3"/>
    </row>
    <row r="21" spans="1:13" x14ac:dyDescent="0.25">
      <c r="A21" s="59" t="s">
        <v>3</v>
      </c>
      <c r="B21" s="141">
        <v>0</v>
      </c>
      <c r="C21" s="58">
        <v>0</v>
      </c>
      <c r="D21" s="58">
        <v>21</v>
      </c>
      <c r="E21" s="58">
        <v>65</v>
      </c>
      <c r="F21" s="58">
        <v>12</v>
      </c>
      <c r="G21" s="58">
        <v>40</v>
      </c>
      <c r="H21" s="58">
        <v>66</v>
      </c>
      <c r="I21" s="60">
        <f t="shared" si="0"/>
        <v>26</v>
      </c>
      <c r="J21" s="3"/>
      <c r="K21" s="3"/>
      <c r="L21" s="3"/>
      <c r="M21" s="3"/>
    </row>
    <row r="22" spans="1:13" x14ac:dyDescent="0.25">
      <c r="A22" s="59" t="s">
        <v>4</v>
      </c>
      <c r="B22" s="142">
        <v>0</v>
      </c>
      <c r="C22" s="58">
        <v>0</v>
      </c>
      <c r="D22" s="58">
        <v>0</v>
      </c>
      <c r="E22" s="58">
        <v>39</v>
      </c>
      <c r="F22" s="58">
        <v>0</v>
      </c>
      <c r="G22" s="58">
        <v>1</v>
      </c>
      <c r="H22" s="58">
        <v>26</v>
      </c>
      <c r="I22" s="60">
        <f t="shared" si="0"/>
        <v>25</v>
      </c>
      <c r="J22" s="3"/>
      <c r="K22" s="3"/>
      <c r="L22" s="3"/>
      <c r="M22" s="3"/>
    </row>
    <row r="23" spans="1:13" x14ac:dyDescent="0.25">
      <c r="A23" s="59" t="s">
        <v>5</v>
      </c>
      <c r="B23" s="141">
        <v>0</v>
      </c>
      <c r="C23" s="58">
        <v>625</v>
      </c>
      <c r="D23" s="58">
        <v>337</v>
      </c>
      <c r="E23" s="58">
        <v>292</v>
      </c>
      <c r="F23" s="58">
        <v>227</v>
      </c>
      <c r="G23" s="58">
        <v>395</v>
      </c>
      <c r="H23" s="58">
        <v>412</v>
      </c>
      <c r="I23" s="60">
        <f t="shared" si="0"/>
        <v>17</v>
      </c>
      <c r="J23" s="3"/>
      <c r="K23" s="3"/>
      <c r="L23" s="3"/>
      <c r="M23" s="3"/>
    </row>
    <row r="24" spans="1:13" x14ac:dyDescent="0.25">
      <c r="A24" s="59" t="s">
        <v>6</v>
      </c>
      <c r="B24" s="142">
        <v>0</v>
      </c>
      <c r="C24" s="58">
        <v>256</v>
      </c>
      <c r="D24" s="58">
        <v>376</v>
      </c>
      <c r="E24" s="58">
        <v>310</v>
      </c>
      <c r="F24" s="58">
        <v>459</v>
      </c>
      <c r="G24" s="58">
        <v>140</v>
      </c>
      <c r="H24" s="58">
        <v>92</v>
      </c>
      <c r="I24" s="60">
        <f t="shared" si="0"/>
        <v>-48</v>
      </c>
      <c r="J24" s="3"/>
      <c r="K24" s="3"/>
      <c r="L24" s="3"/>
      <c r="M24" s="3"/>
    </row>
    <row r="25" spans="1:13" x14ac:dyDescent="0.25">
      <c r="A25" s="59" t="s">
        <v>7</v>
      </c>
      <c r="B25" s="141">
        <v>0</v>
      </c>
      <c r="C25" s="58">
        <v>4469</v>
      </c>
      <c r="D25" s="58">
        <v>1258</v>
      </c>
      <c r="E25" s="58">
        <v>243</v>
      </c>
      <c r="F25" s="58">
        <v>171</v>
      </c>
      <c r="G25" s="58">
        <v>178</v>
      </c>
      <c r="H25" s="58">
        <v>752</v>
      </c>
      <c r="I25" s="60">
        <f t="shared" si="0"/>
        <v>574</v>
      </c>
      <c r="J25" s="3"/>
      <c r="K25" s="3"/>
      <c r="L25" s="3"/>
      <c r="M25" s="3"/>
    </row>
    <row r="26" spans="1:13" x14ac:dyDescent="0.25">
      <c r="A26" s="59" t="s">
        <v>31</v>
      </c>
      <c r="B26" s="142">
        <v>0</v>
      </c>
      <c r="C26" s="58">
        <v>1346</v>
      </c>
      <c r="D26" s="58">
        <v>2</v>
      </c>
      <c r="E26" s="58">
        <v>49</v>
      </c>
      <c r="F26" s="58">
        <v>29</v>
      </c>
      <c r="G26" s="58">
        <v>194</v>
      </c>
      <c r="H26" s="58">
        <v>335</v>
      </c>
      <c r="I26" s="60">
        <f t="shared" si="0"/>
        <v>141</v>
      </c>
      <c r="J26" s="3"/>
      <c r="K26" s="3"/>
      <c r="L26" s="3"/>
      <c r="M26" s="3"/>
    </row>
    <row r="27" spans="1:13" x14ac:dyDescent="0.25">
      <c r="A27" s="59" t="s">
        <v>8</v>
      </c>
      <c r="B27" s="141">
        <v>0</v>
      </c>
      <c r="C27" s="58">
        <v>2</v>
      </c>
      <c r="D27" s="58">
        <v>51</v>
      </c>
      <c r="E27" s="58">
        <v>75</v>
      </c>
      <c r="F27" s="58">
        <v>2</v>
      </c>
      <c r="G27" s="58">
        <v>201</v>
      </c>
      <c r="H27" s="58">
        <v>215</v>
      </c>
      <c r="I27" s="60">
        <f t="shared" si="0"/>
        <v>14</v>
      </c>
      <c r="J27" s="3"/>
      <c r="K27" s="3"/>
      <c r="L27" s="3"/>
      <c r="M27" s="3"/>
    </row>
    <row r="28" spans="1:13" x14ac:dyDescent="0.25">
      <c r="A28" s="59" t="s">
        <v>9</v>
      </c>
      <c r="B28" s="142">
        <v>0</v>
      </c>
      <c r="C28" s="58">
        <v>512</v>
      </c>
      <c r="D28" s="58">
        <v>606</v>
      </c>
      <c r="E28" s="58">
        <v>71</v>
      </c>
      <c r="F28" s="58">
        <v>1</v>
      </c>
      <c r="G28" s="58">
        <v>37</v>
      </c>
      <c r="H28" s="58">
        <v>223</v>
      </c>
      <c r="I28" s="60">
        <f t="shared" si="0"/>
        <v>186</v>
      </c>
      <c r="J28" s="3"/>
      <c r="K28" s="3"/>
      <c r="L28" s="3"/>
      <c r="M28" s="3"/>
    </row>
    <row r="29" spans="1:13" x14ac:dyDescent="0.25">
      <c r="A29" s="59" t="s">
        <v>10</v>
      </c>
      <c r="B29" s="141">
        <v>0</v>
      </c>
      <c r="C29" s="58">
        <v>599</v>
      </c>
      <c r="D29" s="58">
        <v>1763</v>
      </c>
      <c r="E29" s="58">
        <v>8014</v>
      </c>
      <c r="F29" s="58">
        <v>1341</v>
      </c>
      <c r="G29" s="58">
        <v>6537</v>
      </c>
      <c r="H29" s="58">
        <v>6410</v>
      </c>
      <c r="I29" s="60">
        <f t="shared" si="0"/>
        <v>-127</v>
      </c>
      <c r="J29" s="3"/>
      <c r="K29" s="3"/>
      <c r="L29" s="3"/>
      <c r="M29" s="3"/>
    </row>
    <row r="30" spans="1:13" x14ac:dyDescent="0.25">
      <c r="A30" s="59" t="s">
        <v>11</v>
      </c>
      <c r="B30" s="142">
        <v>0</v>
      </c>
      <c r="C30" s="58">
        <v>1886</v>
      </c>
      <c r="D30" s="58">
        <v>1800</v>
      </c>
      <c r="E30" s="58">
        <v>1462</v>
      </c>
      <c r="F30" s="58">
        <v>1021</v>
      </c>
      <c r="G30" s="58">
        <v>1175</v>
      </c>
      <c r="H30" s="58">
        <v>852</v>
      </c>
      <c r="I30" s="60">
        <f t="shared" si="0"/>
        <v>-323</v>
      </c>
      <c r="J30" s="3"/>
      <c r="K30" s="3"/>
      <c r="L30" s="3"/>
      <c r="M30" s="3"/>
    </row>
    <row r="31" spans="1:13" x14ac:dyDescent="0.25">
      <c r="A31" s="59" t="s">
        <v>12</v>
      </c>
      <c r="B31" s="141">
        <v>0</v>
      </c>
      <c r="C31" s="58">
        <v>207</v>
      </c>
      <c r="D31" s="58">
        <v>147</v>
      </c>
      <c r="E31" s="58">
        <v>274</v>
      </c>
      <c r="F31" s="58">
        <v>183</v>
      </c>
      <c r="G31" s="58">
        <v>408</v>
      </c>
      <c r="H31" s="58">
        <v>105</v>
      </c>
      <c r="I31" s="60">
        <f t="shared" si="0"/>
        <v>-303</v>
      </c>
      <c r="J31" s="3"/>
      <c r="K31" s="3"/>
      <c r="L31" s="3"/>
      <c r="M31" s="3"/>
    </row>
    <row r="32" spans="1:13" x14ac:dyDescent="0.25">
      <c r="A32" s="59" t="s">
        <v>13</v>
      </c>
      <c r="B32" s="142">
        <v>0</v>
      </c>
      <c r="C32" s="58">
        <v>35</v>
      </c>
      <c r="D32" s="58">
        <v>396</v>
      </c>
      <c r="E32" s="58">
        <v>463</v>
      </c>
      <c r="F32" s="58">
        <v>33</v>
      </c>
      <c r="G32" s="58">
        <v>228</v>
      </c>
      <c r="H32" s="58">
        <v>158</v>
      </c>
      <c r="I32" s="60">
        <f t="shared" si="0"/>
        <v>-70</v>
      </c>
      <c r="J32" s="3"/>
      <c r="K32" s="3"/>
      <c r="L32" s="3"/>
      <c r="M32" s="3"/>
    </row>
    <row r="33" spans="1:13" x14ac:dyDescent="0.25">
      <c r="A33" s="59" t="s">
        <v>14</v>
      </c>
      <c r="B33" s="141">
        <v>0</v>
      </c>
      <c r="C33" s="58">
        <v>5395</v>
      </c>
      <c r="D33" s="58">
        <v>7754</v>
      </c>
      <c r="E33" s="58">
        <v>6308</v>
      </c>
      <c r="F33" s="58">
        <v>21394</v>
      </c>
      <c r="G33" s="58">
        <v>30630</v>
      </c>
      <c r="H33" s="58">
        <v>67149</v>
      </c>
      <c r="I33" s="60">
        <f t="shared" si="0"/>
        <v>36519</v>
      </c>
      <c r="J33" s="3"/>
      <c r="K33" s="3"/>
      <c r="L33" s="3"/>
      <c r="M33" s="3"/>
    </row>
    <row r="34" spans="1:13" x14ac:dyDescent="0.25">
      <c r="A34" s="59" t="s">
        <v>30</v>
      </c>
      <c r="B34" s="142">
        <v>0</v>
      </c>
      <c r="C34" s="58">
        <v>0</v>
      </c>
      <c r="D34" s="58">
        <v>49</v>
      </c>
      <c r="E34" s="58">
        <v>5</v>
      </c>
      <c r="F34" s="58">
        <v>39</v>
      </c>
      <c r="G34" s="58">
        <v>7715</v>
      </c>
      <c r="H34" s="58">
        <v>7206</v>
      </c>
      <c r="I34" s="60">
        <f t="shared" si="0"/>
        <v>-509</v>
      </c>
      <c r="J34" s="3"/>
      <c r="K34" s="3"/>
      <c r="L34" s="3"/>
      <c r="M34" s="3"/>
    </row>
    <row r="35" spans="1:13" x14ac:dyDescent="0.25">
      <c r="A35" s="59" t="s">
        <v>15</v>
      </c>
      <c r="B35" s="141">
        <v>0</v>
      </c>
      <c r="C35" s="58">
        <v>2011</v>
      </c>
      <c r="D35" s="58">
        <v>2100</v>
      </c>
      <c r="E35" s="58">
        <v>1995</v>
      </c>
      <c r="F35" s="58">
        <v>1860</v>
      </c>
      <c r="G35" s="58">
        <v>1311</v>
      </c>
      <c r="H35" s="58">
        <v>1873</v>
      </c>
      <c r="I35" s="60">
        <f t="shared" si="0"/>
        <v>562</v>
      </c>
      <c r="J35" s="3"/>
      <c r="K35" s="3"/>
      <c r="L35" s="3"/>
      <c r="M35" s="3"/>
    </row>
    <row r="36" spans="1:13" x14ac:dyDescent="0.25">
      <c r="A36" s="59" t="s">
        <v>16</v>
      </c>
      <c r="B36" s="142">
        <v>0</v>
      </c>
      <c r="C36" s="58">
        <v>92</v>
      </c>
      <c r="D36" s="58">
        <v>0</v>
      </c>
      <c r="E36" s="58">
        <v>0</v>
      </c>
      <c r="F36" s="58">
        <v>0</v>
      </c>
      <c r="G36" s="58">
        <v>0</v>
      </c>
      <c r="H36" s="58">
        <v>2</v>
      </c>
      <c r="I36" s="60">
        <f t="shared" si="0"/>
        <v>2</v>
      </c>
      <c r="J36" s="3"/>
      <c r="K36" s="3"/>
      <c r="L36" s="3"/>
      <c r="M36" s="3"/>
    </row>
    <row r="37" spans="1:13" x14ac:dyDescent="0.25">
      <c r="A37" s="59" t="s">
        <v>17</v>
      </c>
      <c r="B37" s="141">
        <v>0</v>
      </c>
      <c r="C37" s="58">
        <v>37828</v>
      </c>
      <c r="D37" s="58">
        <v>39610</v>
      </c>
      <c r="E37" s="58">
        <v>35553</v>
      </c>
      <c r="F37" s="58">
        <v>40750</v>
      </c>
      <c r="G37" s="58">
        <v>62504</v>
      </c>
      <c r="H37" s="58">
        <v>58432</v>
      </c>
      <c r="I37" s="60">
        <f t="shared" si="0"/>
        <v>-4072</v>
      </c>
      <c r="J37" s="3"/>
      <c r="K37" s="3"/>
      <c r="L37" s="3"/>
      <c r="M37" s="3"/>
    </row>
    <row r="38" spans="1:13" x14ac:dyDescent="0.25">
      <c r="A38" s="59" t="s">
        <v>18</v>
      </c>
      <c r="B38" s="142">
        <v>0</v>
      </c>
      <c r="C38" s="58">
        <v>5358</v>
      </c>
      <c r="D38" s="58">
        <v>5060</v>
      </c>
      <c r="E38" s="58">
        <v>3057</v>
      </c>
      <c r="F38" s="58">
        <v>3613</v>
      </c>
      <c r="G38" s="58">
        <v>4232</v>
      </c>
      <c r="H38" s="58">
        <v>3346</v>
      </c>
      <c r="I38" s="60">
        <f t="shared" si="0"/>
        <v>-886</v>
      </c>
      <c r="J38" s="3"/>
      <c r="K38" s="3"/>
      <c r="L38" s="3"/>
      <c r="M38" s="3"/>
    </row>
    <row r="39" spans="1:13" x14ac:dyDescent="0.25">
      <c r="A39" s="59" t="s">
        <v>29</v>
      </c>
      <c r="B39" s="141">
        <v>0</v>
      </c>
      <c r="C39" s="58">
        <v>4</v>
      </c>
      <c r="D39" s="58">
        <v>0</v>
      </c>
      <c r="E39" s="58">
        <v>47</v>
      </c>
      <c r="F39" s="58">
        <v>7</v>
      </c>
      <c r="G39" s="58">
        <v>0</v>
      </c>
      <c r="H39" s="58">
        <v>2</v>
      </c>
      <c r="I39" s="60">
        <f t="shared" si="0"/>
        <v>2</v>
      </c>
      <c r="J39" s="3"/>
      <c r="K39" s="3"/>
      <c r="L39" s="3"/>
      <c r="M39" s="3"/>
    </row>
    <row r="40" spans="1:13" x14ac:dyDescent="0.25">
      <c r="A40" s="59" t="s">
        <v>19</v>
      </c>
      <c r="B40" s="142">
        <v>0</v>
      </c>
      <c r="C40" s="58">
        <v>1653</v>
      </c>
      <c r="D40" s="58">
        <v>1255</v>
      </c>
      <c r="E40" s="58">
        <v>257</v>
      </c>
      <c r="F40" s="58">
        <v>73</v>
      </c>
      <c r="G40" s="58">
        <v>32</v>
      </c>
      <c r="H40" s="58">
        <v>148</v>
      </c>
      <c r="I40" s="60">
        <f t="shared" si="0"/>
        <v>116</v>
      </c>
      <c r="J40" s="3"/>
      <c r="K40" s="3"/>
      <c r="L40" s="3"/>
      <c r="M40" s="3"/>
    </row>
    <row r="41" spans="1:13" x14ac:dyDescent="0.25">
      <c r="A41" s="59" t="s">
        <v>20</v>
      </c>
      <c r="B41" s="141">
        <v>0</v>
      </c>
      <c r="C41" s="58">
        <v>903</v>
      </c>
      <c r="D41" s="58">
        <v>148</v>
      </c>
      <c r="E41" s="58">
        <v>247</v>
      </c>
      <c r="F41" s="58">
        <v>282</v>
      </c>
      <c r="G41" s="58">
        <v>851</v>
      </c>
      <c r="H41" s="58">
        <v>556</v>
      </c>
      <c r="I41" s="60">
        <f t="shared" si="0"/>
        <v>-295</v>
      </c>
      <c r="J41" s="3"/>
      <c r="K41" s="3"/>
      <c r="L41" s="3"/>
      <c r="M41" s="3"/>
    </row>
    <row r="42" spans="1:13" x14ac:dyDescent="0.25">
      <c r="A42" s="59" t="s">
        <v>21</v>
      </c>
      <c r="B42" s="142">
        <v>0</v>
      </c>
      <c r="C42" s="58">
        <v>0</v>
      </c>
      <c r="D42" s="58">
        <v>246</v>
      </c>
      <c r="E42" s="58">
        <v>68</v>
      </c>
      <c r="F42" s="58">
        <v>12</v>
      </c>
      <c r="G42" s="58">
        <v>28</v>
      </c>
      <c r="H42" s="58">
        <v>14</v>
      </c>
      <c r="I42" s="60">
        <f t="shared" si="0"/>
        <v>-14</v>
      </c>
      <c r="J42" s="3"/>
      <c r="K42" s="3"/>
      <c r="L42" s="3"/>
      <c r="M42" s="3"/>
    </row>
    <row r="43" spans="1:13" x14ac:dyDescent="0.25">
      <c r="A43" s="59" t="s">
        <v>22</v>
      </c>
      <c r="B43" s="141">
        <v>0</v>
      </c>
      <c r="C43" s="58">
        <v>0</v>
      </c>
      <c r="D43" s="58">
        <v>61</v>
      </c>
      <c r="E43" s="58">
        <v>103</v>
      </c>
      <c r="F43" s="58">
        <v>0</v>
      </c>
      <c r="G43" s="58">
        <v>0</v>
      </c>
      <c r="H43" s="58">
        <v>0</v>
      </c>
      <c r="I43" s="60">
        <f t="shared" si="0"/>
        <v>0</v>
      </c>
      <c r="J43" s="3"/>
      <c r="K43" s="3"/>
      <c r="L43" s="3"/>
      <c r="M43" s="3"/>
    </row>
    <row r="44" spans="1:13" x14ac:dyDescent="0.25">
      <c r="A44" s="59" t="s">
        <v>23</v>
      </c>
      <c r="B44" s="142">
        <v>0</v>
      </c>
      <c r="C44" s="58">
        <v>503</v>
      </c>
      <c r="D44" s="58">
        <v>494</v>
      </c>
      <c r="E44" s="58">
        <v>221</v>
      </c>
      <c r="F44" s="58">
        <v>28</v>
      </c>
      <c r="G44" s="58">
        <v>8</v>
      </c>
      <c r="H44" s="58">
        <v>71</v>
      </c>
      <c r="I44" s="60">
        <f t="shared" si="0"/>
        <v>63</v>
      </c>
      <c r="J44" s="3"/>
      <c r="K44" s="3"/>
      <c r="L44" s="3"/>
      <c r="M44" s="3"/>
    </row>
    <row r="45" spans="1:13" x14ac:dyDescent="0.25">
      <c r="A45" s="59" t="s">
        <v>24</v>
      </c>
      <c r="B45" s="141">
        <v>0</v>
      </c>
      <c r="C45" s="58">
        <v>43</v>
      </c>
      <c r="D45" s="58">
        <v>59</v>
      </c>
      <c r="E45" s="58">
        <v>82</v>
      </c>
      <c r="F45" s="58">
        <v>110</v>
      </c>
      <c r="G45" s="58">
        <v>95</v>
      </c>
      <c r="H45" s="58">
        <v>131</v>
      </c>
      <c r="I45" s="60">
        <f t="shared" si="0"/>
        <v>36</v>
      </c>
      <c r="J45" s="3"/>
      <c r="K45" s="3"/>
      <c r="L45" s="3"/>
      <c r="M45" s="3"/>
    </row>
    <row r="46" spans="1:13" x14ac:dyDescent="0.25">
      <c r="A46" s="59" t="s">
        <v>25</v>
      </c>
      <c r="B46" s="142">
        <v>0</v>
      </c>
      <c r="C46" s="58">
        <v>0</v>
      </c>
      <c r="D46" s="58">
        <v>0</v>
      </c>
      <c r="E46" s="58">
        <v>0</v>
      </c>
      <c r="F46" s="58">
        <v>56</v>
      </c>
      <c r="G46" s="58">
        <v>66</v>
      </c>
      <c r="H46" s="58">
        <v>23</v>
      </c>
      <c r="I46" s="60">
        <f t="shared" si="0"/>
        <v>-43</v>
      </c>
      <c r="J46" s="3"/>
      <c r="K46" s="3"/>
      <c r="L46" s="3"/>
      <c r="M46" s="3"/>
    </row>
    <row r="47" spans="1:13" x14ac:dyDescent="0.25">
      <c r="A47" s="59" t="s">
        <v>53</v>
      </c>
      <c r="B47" s="141">
        <v>0</v>
      </c>
      <c r="C47" s="58">
        <v>679</v>
      </c>
      <c r="D47" s="58">
        <v>1150</v>
      </c>
      <c r="E47" s="58">
        <v>842</v>
      </c>
      <c r="F47" s="58">
        <v>499</v>
      </c>
      <c r="G47" s="58">
        <v>580</v>
      </c>
      <c r="H47" s="58">
        <v>768</v>
      </c>
      <c r="I47" s="60">
        <f t="shared" si="0"/>
        <v>188</v>
      </c>
      <c r="J47" s="3"/>
      <c r="K47" s="3"/>
      <c r="L47" s="3"/>
      <c r="M47" s="3"/>
    </row>
    <row r="48" spans="1:13" x14ac:dyDescent="0.25">
      <c r="A48" s="59" t="s">
        <v>26</v>
      </c>
      <c r="B48" s="142">
        <v>0</v>
      </c>
      <c r="C48" s="58">
        <v>1487</v>
      </c>
      <c r="D48" s="58">
        <v>1436</v>
      </c>
      <c r="E48" s="58">
        <v>956</v>
      </c>
      <c r="F48" s="58">
        <v>132</v>
      </c>
      <c r="G48" s="58">
        <v>429</v>
      </c>
      <c r="H48" s="58">
        <v>433</v>
      </c>
      <c r="I48" s="60">
        <f t="shared" si="0"/>
        <v>4</v>
      </c>
      <c r="J48" s="3"/>
      <c r="K48" s="3"/>
      <c r="L48" s="3"/>
      <c r="M48" s="3"/>
    </row>
    <row r="49" spans="1:13" x14ac:dyDescent="0.25">
      <c r="A49" s="59" t="s">
        <v>27</v>
      </c>
      <c r="B49" s="141">
        <v>0</v>
      </c>
      <c r="C49" s="58">
        <v>57</v>
      </c>
      <c r="D49" s="58">
        <v>252</v>
      </c>
      <c r="E49" s="58">
        <v>370</v>
      </c>
      <c r="F49" s="58">
        <v>0</v>
      </c>
      <c r="G49" s="58">
        <v>0</v>
      </c>
      <c r="H49" s="58">
        <v>78</v>
      </c>
      <c r="I49" s="60">
        <f t="shared" si="0"/>
        <v>78</v>
      </c>
      <c r="J49" s="3"/>
      <c r="K49" s="3"/>
      <c r="L49" s="3"/>
      <c r="M49" s="3"/>
    </row>
    <row r="50" spans="1:13" x14ac:dyDescent="0.25">
      <c r="A50" s="57" t="s">
        <v>50</v>
      </c>
      <c r="B50" s="143">
        <v>0</v>
      </c>
      <c r="C50" s="102">
        <v>1905</v>
      </c>
      <c r="D50" s="102">
        <v>3605</v>
      </c>
      <c r="E50" s="102">
        <v>2567</v>
      </c>
      <c r="F50" s="102">
        <v>939</v>
      </c>
      <c r="G50" s="102">
        <v>2331</v>
      </c>
      <c r="H50" s="102">
        <v>11360</v>
      </c>
      <c r="I50" s="112">
        <f t="shared" si="0"/>
        <v>9029</v>
      </c>
      <c r="J50" s="3"/>
      <c r="K50" s="3"/>
      <c r="L50" s="3"/>
      <c r="M50" s="3"/>
    </row>
    <row r="51" spans="1:13" x14ac:dyDescent="0.25">
      <c r="A51" s="59" t="s">
        <v>32</v>
      </c>
      <c r="B51" s="141">
        <v>0</v>
      </c>
      <c r="C51" s="58">
        <v>1443</v>
      </c>
      <c r="D51" s="58">
        <v>2099</v>
      </c>
      <c r="E51" s="58">
        <v>1770</v>
      </c>
      <c r="F51" s="58">
        <v>409</v>
      </c>
      <c r="G51" s="58">
        <v>1500</v>
      </c>
      <c r="H51" s="58">
        <v>1708</v>
      </c>
      <c r="I51" s="60">
        <f t="shared" si="0"/>
        <v>208</v>
      </c>
      <c r="J51" s="3"/>
      <c r="K51" s="3"/>
      <c r="L51" s="3"/>
      <c r="M51" s="3"/>
    </row>
    <row r="52" spans="1:13" x14ac:dyDescent="0.25">
      <c r="A52" s="59" t="s">
        <v>28</v>
      </c>
      <c r="B52" s="142">
        <v>0</v>
      </c>
      <c r="C52" s="58">
        <v>462</v>
      </c>
      <c r="D52" s="58">
        <v>737</v>
      </c>
      <c r="E52" s="58">
        <v>602</v>
      </c>
      <c r="F52" s="58">
        <v>70</v>
      </c>
      <c r="G52" s="58">
        <v>372</v>
      </c>
      <c r="H52" s="58">
        <v>549</v>
      </c>
      <c r="I52" s="60">
        <f t="shared" si="0"/>
        <v>177</v>
      </c>
      <c r="J52" s="3"/>
      <c r="K52" s="3"/>
      <c r="L52" s="3"/>
      <c r="M52" s="3"/>
    </row>
    <row r="53" spans="1:13" x14ac:dyDescent="0.25">
      <c r="A53" s="59" t="s">
        <v>39</v>
      </c>
      <c r="B53" s="141">
        <v>0</v>
      </c>
      <c r="C53" s="58">
        <v>0</v>
      </c>
      <c r="D53" s="58">
        <v>769</v>
      </c>
      <c r="E53" s="58">
        <v>195</v>
      </c>
      <c r="F53" s="58">
        <v>460</v>
      </c>
      <c r="G53" s="58">
        <v>459</v>
      </c>
      <c r="H53" s="58">
        <v>9103</v>
      </c>
      <c r="I53" s="58">
        <f t="shared" si="0"/>
        <v>8644</v>
      </c>
    </row>
    <row r="54" spans="1:13" x14ac:dyDescent="0.25">
      <c r="A54" s="57" t="s">
        <v>134</v>
      </c>
      <c r="B54" s="142">
        <v>0</v>
      </c>
      <c r="C54" s="58">
        <v>0</v>
      </c>
      <c r="D54" s="58">
        <v>0</v>
      </c>
      <c r="E54" s="58">
        <v>112</v>
      </c>
      <c r="F54" s="58">
        <v>223</v>
      </c>
      <c r="G54" s="58">
        <v>187</v>
      </c>
      <c r="H54" s="58">
        <v>664</v>
      </c>
      <c r="I54" s="102">
        <f t="shared" si="0"/>
        <v>477</v>
      </c>
    </row>
    <row r="55" spans="1:13" x14ac:dyDescent="0.25">
      <c r="A55" s="59" t="s">
        <v>40</v>
      </c>
      <c r="B55" s="141">
        <v>0</v>
      </c>
      <c r="C55" s="58">
        <v>0</v>
      </c>
      <c r="D55" s="58">
        <v>0</v>
      </c>
      <c r="E55" s="58">
        <v>112</v>
      </c>
      <c r="F55" s="58">
        <v>223</v>
      </c>
      <c r="G55" s="58">
        <v>187</v>
      </c>
      <c r="H55" s="58">
        <v>664</v>
      </c>
      <c r="I55" s="58">
        <f t="shared" si="0"/>
        <v>477</v>
      </c>
    </row>
    <row r="56" spans="1:13" hidden="1" x14ac:dyDescent="0.25">
      <c r="A56" s="57" t="s">
        <v>37</v>
      </c>
      <c r="B56" s="58">
        <v>0</v>
      </c>
      <c r="C56" s="58">
        <v>68182</v>
      </c>
      <c r="D56" s="58">
        <v>70549</v>
      </c>
      <c r="E56" s="58">
        <v>64633</v>
      </c>
      <c r="F56" s="58">
        <v>74753</v>
      </c>
      <c r="G56" s="58">
        <v>121394</v>
      </c>
      <c r="H56" s="58">
        <v>163434</v>
      </c>
      <c r="I56" s="84">
        <f t="shared" si="0"/>
        <v>42040</v>
      </c>
    </row>
    <row r="57" spans="1:13" ht="6.75" customHeight="1" x14ac:dyDescent="0.25"/>
    <row r="58" spans="1:13" ht="24" customHeight="1" x14ac:dyDescent="0.25">
      <c r="A58" s="99" t="s">
        <v>41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opLeftCell="A34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1.5703125" style="56" bestFit="1" customWidth="1"/>
    <col min="11" max="11" width="15.140625" style="56" bestFit="1" customWidth="1"/>
    <col min="12" max="12" width="11.5703125" style="56" bestFit="1" customWidth="1"/>
    <col min="13" max="13" width="15.140625" style="56" bestFit="1" customWidth="1"/>
    <col min="14" max="14" width="11.5703125" style="56" bestFit="1" customWidth="1"/>
    <col min="15" max="15" width="20.140625" style="56" bestFit="1" customWidth="1"/>
    <col min="16" max="16" width="16.5703125" style="56" bestFit="1" customWidth="1"/>
    <col min="17" max="16384" width="11.42578125" style="56"/>
  </cols>
  <sheetData>
    <row r="1" spans="1:9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9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9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9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9" s="4" customFormat="1" ht="15" customHeight="1" x14ac:dyDescent="0.25">
      <c r="A5" s="90" t="s">
        <v>206</v>
      </c>
      <c r="B5" s="90"/>
      <c r="C5" s="90"/>
      <c r="D5" s="90"/>
      <c r="E5" s="90"/>
      <c r="F5" s="90"/>
      <c r="G5" s="90"/>
      <c r="H5" s="91"/>
      <c r="I5" s="91"/>
    </row>
    <row r="6" spans="1:9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9" s="77" customFormat="1" ht="15" customHeight="1" x14ac:dyDescent="0.35">
      <c r="A7" s="85" t="s">
        <v>207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9" s="77" customFormat="1" ht="15" customHeight="1" x14ac:dyDescent="0.35">
      <c r="A8" s="86">
        <v>2012</v>
      </c>
      <c r="B8" s="116">
        <f>$B$56</f>
        <v>2.0137849352700234</v>
      </c>
      <c r="C8" s="78"/>
      <c r="D8" s="76"/>
      <c r="E8" s="72"/>
      <c r="F8" s="72"/>
      <c r="G8" s="72"/>
      <c r="H8" s="72"/>
      <c r="I8" s="6"/>
    </row>
    <row r="9" spans="1:9" s="77" customFormat="1" ht="15" customHeight="1" x14ac:dyDescent="0.35">
      <c r="A9" s="86">
        <v>2013</v>
      </c>
      <c r="B9" s="116">
        <f>$C$56</f>
        <v>9.6996678353939831</v>
      </c>
      <c r="C9" s="76"/>
      <c r="D9" s="76"/>
      <c r="E9" s="72"/>
      <c r="F9" s="72"/>
      <c r="G9" s="72"/>
      <c r="H9" s="72"/>
      <c r="I9" s="6"/>
    </row>
    <row r="10" spans="1:9" s="77" customFormat="1" ht="15" customHeight="1" x14ac:dyDescent="0.35">
      <c r="A10" s="86">
        <v>2014</v>
      </c>
      <c r="B10" s="116">
        <f>$D$56</f>
        <v>6.319448817071029</v>
      </c>
      <c r="C10" s="76"/>
      <c r="D10" s="76"/>
      <c r="E10" s="72"/>
      <c r="F10" s="72"/>
      <c r="G10" s="72"/>
      <c r="H10" s="72"/>
      <c r="I10" s="6"/>
    </row>
    <row r="11" spans="1:9" s="77" customFormat="1" ht="15" customHeight="1" x14ac:dyDescent="0.35">
      <c r="A11" s="86">
        <v>2015</v>
      </c>
      <c r="B11" s="116">
        <f>$E$56</f>
        <v>3.451314677342209</v>
      </c>
      <c r="C11" s="76"/>
      <c r="D11" s="76"/>
      <c r="E11" s="72"/>
      <c r="F11" s="72"/>
      <c r="G11" s="72"/>
      <c r="H11" s="72"/>
      <c r="I11" s="6"/>
    </row>
    <row r="12" spans="1:9" s="77" customFormat="1" ht="15" customHeight="1" x14ac:dyDescent="0.35">
      <c r="A12" s="86">
        <v>2016</v>
      </c>
      <c r="B12" s="116">
        <f>$F$56</f>
        <v>3.4245796811519837</v>
      </c>
      <c r="C12" s="76"/>
      <c r="D12" s="76"/>
      <c r="E12" s="72"/>
      <c r="F12" s="72"/>
      <c r="G12" s="72"/>
      <c r="H12" s="72"/>
      <c r="I12" s="6"/>
    </row>
    <row r="13" spans="1:9" s="77" customFormat="1" ht="15" customHeight="1" x14ac:dyDescent="0.35">
      <c r="A13" s="86">
        <v>2017</v>
      </c>
      <c r="B13" s="116">
        <f>$G$56</f>
        <v>3.4202863227031326</v>
      </c>
      <c r="C13" s="76"/>
      <c r="D13" s="76"/>
      <c r="E13" s="72"/>
      <c r="F13" s="72"/>
      <c r="G13" s="72"/>
      <c r="H13" s="72"/>
      <c r="I13" s="6"/>
    </row>
    <row r="14" spans="1:9" s="77" customFormat="1" ht="15" customHeight="1" x14ac:dyDescent="0.35">
      <c r="A14" s="86">
        <v>2018</v>
      </c>
      <c r="B14" s="116">
        <f>$H$56</f>
        <v>3.9060089196677703</v>
      </c>
      <c r="C14" s="76"/>
      <c r="D14" s="76"/>
      <c r="E14" s="72"/>
      <c r="F14" s="72"/>
      <c r="G14" s="72"/>
      <c r="H14" s="72"/>
      <c r="I14" s="6"/>
    </row>
    <row r="15" spans="1:9" s="77" customFormat="1" ht="15" customHeight="1" x14ac:dyDescent="0.35">
      <c r="A15" s="88" t="s">
        <v>47</v>
      </c>
      <c r="B15" s="87">
        <f>B14-B13</f>
        <v>0.48572259696463771</v>
      </c>
      <c r="C15" s="76"/>
      <c r="D15" s="76"/>
      <c r="E15" s="72"/>
      <c r="F15" s="72"/>
      <c r="G15" s="72"/>
      <c r="H15" s="72"/>
      <c r="I15" s="6"/>
    </row>
    <row r="16" spans="1:9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137"/>
      <c r="I16" s="7"/>
    </row>
    <row r="17" spans="1:14" hidden="1" x14ac:dyDescent="0.25">
      <c r="A17" s="94" t="s">
        <v>208</v>
      </c>
      <c r="B17" s="55" t="s">
        <v>45</v>
      </c>
      <c r="I17" s="92" t="s">
        <v>170</v>
      </c>
      <c r="J17" s="3"/>
      <c r="K17" s="3"/>
      <c r="L17" s="3"/>
      <c r="M17" s="3"/>
      <c r="N17" s="3"/>
    </row>
    <row r="18" spans="1:14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</row>
    <row r="19" spans="1:14" x14ac:dyDescent="0.25">
      <c r="A19" s="57" t="s">
        <v>49</v>
      </c>
      <c r="B19" s="84">
        <v>2.331066689806415</v>
      </c>
      <c r="C19" s="84">
        <v>10.697374169956662</v>
      </c>
      <c r="D19" s="84">
        <v>7.4210282281235012</v>
      </c>
      <c r="E19" s="84">
        <v>3.7979659790936933</v>
      </c>
      <c r="F19" s="84">
        <v>3.8990700750943539</v>
      </c>
      <c r="G19" s="84">
        <v>3.8250696720056347</v>
      </c>
      <c r="H19" s="84">
        <v>4.273185730424756</v>
      </c>
      <c r="I19" s="119">
        <f>H19-G19</f>
        <v>0.44811605841912128</v>
      </c>
      <c r="J19" s="3"/>
      <c r="K19" s="3"/>
      <c r="L19" s="3"/>
      <c r="M19" s="3"/>
      <c r="N19" s="3"/>
    </row>
    <row r="20" spans="1:14" x14ac:dyDescent="0.25">
      <c r="A20" s="59" t="s">
        <v>1</v>
      </c>
      <c r="B20" s="84">
        <v>3.3634126333059884</v>
      </c>
      <c r="C20" s="84">
        <v>11.536833192209992</v>
      </c>
      <c r="D20" s="84">
        <v>4.2535091450446618</v>
      </c>
      <c r="E20" s="84">
        <v>7.5257289879931379</v>
      </c>
      <c r="F20" s="84">
        <v>5.5747623163353497</v>
      </c>
      <c r="G20" s="84">
        <v>7.1643071643071643</v>
      </c>
      <c r="H20" s="84">
        <v>6.3525900660839909</v>
      </c>
      <c r="I20" s="120">
        <f t="shared" ref="I20:I56" si="0">H20-G20</f>
        <v>-0.81171709822317339</v>
      </c>
      <c r="J20" s="3"/>
      <c r="K20" s="3"/>
      <c r="L20" s="3"/>
      <c r="M20" s="3"/>
      <c r="N20" s="3"/>
    </row>
    <row r="21" spans="1:14" x14ac:dyDescent="0.25">
      <c r="A21" s="59" t="s">
        <v>3</v>
      </c>
      <c r="B21" s="84">
        <v>7.1701720841300193E-2</v>
      </c>
      <c r="C21" s="84">
        <v>2.3097311624384704</v>
      </c>
      <c r="D21" s="84">
        <v>2.9637896825396823</v>
      </c>
      <c r="E21" s="84">
        <v>0.44815891472868219</v>
      </c>
      <c r="F21" s="84">
        <v>0.60568603213844252</v>
      </c>
      <c r="G21" s="84">
        <v>1.6729300521275308</v>
      </c>
      <c r="H21" s="84">
        <v>0.49633656346017485</v>
      </c>
      <c r="I21" s="120">
        <f t="shared" si="0"/>
        <v>-1.1765934886673559</v>
      </c>
      <c r="J21" s="3"/>
      <c r="K21" s="3"/>
      <c r="L21" s="3"/>
      <c r="M21" s="3"/>
      <c r="N21" s="3"/>
    </row>
    <row r="22" spans="1:14" x14ac:dyDescent="0.25">
      <c r="A22" s="59" t="s">
        <v>4</v>
      </c>
      <c r="B22" s="84">
        <v>0</v>
      </c>
      <c r="C22" s="84">
        <v>12.536443148688047</v>
      </c>
      <c r="D22" s="84">
        <v>13.608562691131498</v>
      </c>
      <c r="E22" s="84">
        <v>0</v>
      </c>
      <c r="F22" s="84">
        <v>2.7689030883919061</v>
      </c>
      <c r="G22" s="84">
        <v>2.5240384615384617</v>
      </c>
      <c r="H22" s="84">
        <v>5.8927519151443723E-2</v>
      </c>
      <c r="I22" s="120">
        <f t="shared" si="0"/>
        <v>-2.4651109423870179</v>
      </c>
      <c r="J22" s="3"/>
      <c r="K22" s="3"/>
      <c r="L22" s="3"/>
      <c r="M22" s="3"/>
      <c r="N22" s="3"/>
    </row>
    <row r="23" spans="1:14" x14ac:dyDescent="0.25">
      <c r="A23" s="59" t="s">
        <v>5</v>
      </c>
      <c r="B23" s="84">
        <v>3.648068669527897</v>
      </c>
      <c r="C23" s="84">
        <v>38.860103626943001</v>
      </c>
      <c r="D23" s="84">
        <v>8.8633993743482797</v>
      </c>
      <c r="E23" s="84">
        <v>4.4444444444444446</v>
      </c>
      <c r="F23" s="84">
        <v>3.7602179836512262</v>
      </c>
      <c r="G23" s="84">
        <v>5.3067993366500827</v>
      </c>
      <c r="H23" s="84">
        <v>1.4767932489451476</v>
      </c>
      <c r="I23" s="120">
        <f t="shared" si="0"/>
        <v>-3.8300060877049349</v>
      </c>
      <c r="J23" s="3"/>
      <c r="K23" s="3"/>
      <c r="L23" s="3"/>
      <c r="M23" s="3"/>
      <c r="N23" s="3"/>
    </row>
    <row r="24" spans="1:14" x14ac:dyDescent="0.25">
      <c r="A24" s="59" t="s">
        <v>6</v>
      </c>
      <c r="B24" s="84">
        <v>0</v>
      </c>
      <c r="C24" s="84">
        <v>0.16422435573521982</v>
      </c>
      <c r="D24" s="84">
        <v>0.66128818939293743</v>
      </c>
      <c r="E24" s="84">
        <v>0.61894510226049515</v>
      </c>
      <c r="F24" s="84">
        <v>1.6682113067655238</v>
      </c>
      <c r="G24" s="84">
        <v>2.1463282937365014</v>
      </c>
      <c r="H24" s="84">
        <v>0.84141471762692532</v>
      </c>
      <c r="I24" s="120">
        <f t="shared" si="0"/>
        <v>-1.304913576109576</v>
      </c>
      <c r="J24" s="3"/>
      <c r="K24" s="3"/>
      <c r="L24" s="3"/>
      <c r="M24" s="3"/>
      <c r="N24" s="3"/>
    </row>
    <row r="25" spans="1:14" x14ac:dyDescent="0.25">
      <c r="A25" s="59" t="s">
        <v>7</v>
      </c>
      <c r="B25" s="84">
        <v>4.671675922901013</v>
      </c>
      <c r="C25" s="84">
        <v>29.023368606701936</v>
      </c>
      <c r="D25" s="84">
        <v>21.607730263157894</v>
      </c>
      <c r="E25" s="84">
        <v>3.6655683690280063</v>
      </c>
      <c r="F25" s="84">
        <v>5.0467289719626169</v>
      </c>
      <c r="G25" s="84">
        <v>3.3250027165054874</v>
      </c>
      <c r="H25" s="84">
        <v>5.0507406975387843</v>
      </c>
      <c r="I25" s="120">
        <f t="shared" si="0"/>
        <v>1.7257379810332969</v>
      </c>
      <c r="J25" s="3"/>
      <c r="K25" s="3"/>
      <c r="L25" s="3"/>
      <c r="M25" s="3"/>
      <c r="N25" s="3"/>
    </row>
    <row r="26" spans="1:14" x14ac:dyDescent="0.25">
      <c r="A26" s="59" t="s">
        <v>31</v>
      </c>
      <c r="B26" s="84">
        <v>1.2885639945483831</v>
      </c>
      <c r="C26" s="84">
        <v>14.206057533899379</v>
      </c>
      <c r="D26" s="84">
        <v>9.5604950745137671</v>
      </c>
      <c r="E26" s="84">
        <v>0.47064096817570594</v>
      </c>
      <c r="F26" s="84">
        <v>1.1754648429151529</v>
      </c>
      <c r="G26" s="84">
        <v>0.9139678124379097</v>
      </c>
      <c r="H26" s="84">
        <v>0.32698595883823817</v>
      </c>
      <c r="I26" s="120">
        <f t="shared" si="0"/>
        <v>-0.58698185359967159</v>
      </c>
      <c r="J26" s="3"/>
      <c r="K26" s="3"/>
      <c r="L26" s="3"/>
      <c r="M26" s="3"/>
      <c r="N26" s="3"/>
    </row>
    <row r="27" spans="1:14" x14ac:dyDescent="0.25">
      <c r="A27" s="59" t="s">
        <v>8</v>
      </c>
      <c r="B27" s="84">
        <v>1.3412017167381975</v>
      </c>
      <c r="C27" s="84">
        <v>14.763674986723313</v>
      </c>
      <c r="D27" s="84">
        <v>0.47219307450157399</v>
      </c>
      <c r="E27" s="84">
        <v>3.1512605042016806</v>
      </c>
      <c r="F27" s="84">
        <v>2.6686807653575024</v>
      </c>
      <c r="G27" s="84">
        <v>0</v>
      </c>
      <c r="H27" s="84">
        <v>1.7979904812268643</v>
      </c>
      <c r="I27" s="120">
        <f t="shared" si="0"/>
        <v>1.7979904812268643</v>
      </c>
      <c r="J27" s="3"/>
      <c r="K27" s="3"/>
      <c r="L27" s="3"/>
      <c r="M27" s="3"/>
      <c r="N27" s="3"/>
    </row>
    <row r="28" spans="1:14" x14ac:dyDescent="0.25">
      <c r="A28" s="59" t="s">
        <v>9</v>
      </c>
      <c r="B28" s="84">
        <v>2.6404023470243088</v>
      </c>
      <c r="C28" s="84">
        <v>13.178615830915872</v>
      </c>
      <c r="D28" s="84">
        <v>2.899718082964156</v>
      </c>
      <c r="E28" s="84">
        <v>7.1000855431993148</v>
      </c>
      <c r="F28" s="84">
        <v>0.88702147525676933</v>
      </c>
      <c r="G28" s="84">
        <v>8.6598935655539435</v>
      </c>
      <c r="H28" s="84">
        <v>2.9533678756476682</v>
      </c>
      <c r="I28" s="120">
        <f t="shared" si="0"/>
        <v>-5.7065256899062753</v>
      </c>
      <c r="J28" s="3"/>
      <c r="K28" s="3"/>
      <c r="L28" s="3"/>
      <c r="M28" s="3"/>
      <c r="N28" s="3"/>
    </row>
    <row r="29" spans="1:14" x14ac:dyDescent="0.25">
      <c r="A29" s="59" t="s">
        <v>10</v>
      </c>
      <c r="B29" s="84">
        <v>1.4020097478789337</v>
      </c>
      <c r="C29" s="84">
        <v>11.646608315098469</v>
      </c>
      <c r="D29" s="84">
        <v>4.7538487565555743</v>
      </c>
      <c r="E29" s="84">
        <v>4.3739279588336188</v>
      </c>
      <c r="F29" s="84">
        <v>4.1932120931310086</v>
      </c>
      <c r="G29" s="84">
        <v>3.7305584767808715</v>
      </c>
      <c r="H29" s="84">
        <v>2.8457974851091992</v>
      </c>
      <c r="I29" s="120">
        <f t="shared" si="0"/>
        <v>-0.88476099167167233</v>
      </c>
      <c r="J29" s="3"/>
      <c r="K29" s="3"/>
      <c r="L29" s="3"/>
      <c r="M29" s="3"/>
      <c r="N29" s="3"/>
    </row>
    <row r="30" spans="1:14" x14ac:dyDescent="0.25">
      <c r="A30" s="59" t="s">
        <v>11</v>
      </c>
      <c r="B30" s="84">
        <v>1.40485312899106</v>
      </c>
      <c r="C30" s="84">
        <v>17.695826186392225</v>
      </c>
      <c r="D30" s="84">
        <v>6.8367195610262499</v>
      </c>
      <c r="E30" s="84">
        <v>17.937084089534181</v>
      </c>
      <c r="F30" s="84">
        <v>10.810810810810811</v>
      </c>
      <c r="G30" s="84">
        <v>17.360208062418724</v>
      </c>
      <c r="H30" s="84">
        <v>16.97098141506358</v>
      </c>
      <c r="I30" s="120">
        <f t="shared" si="0"/>
        <v>-0.38922664735514445</v>
      </c>
      <c r="J30" s="3"/>
      <c r="K30" s="3"/>
      <c r="L30" s="3"/>
      <c r="M30" s="3"/>
      <c r="N30" s="3"/>
    </row>
    <row r="31" spans="1:14" x14ac:dyDescent="0.25">
      <c r="A31" s="59" t="s">
        <v>12</v>
      </c>
      <c r="B31" s="84">
        <v>2.3306233062330621</v>
      </c>
      <c r="C31" s="84">
        <v>6.2945973496432215</v>
      </c>
      <c r="D31" s="84">
        <v>1.8296169239565465</v>
      </c>
      <c r="E31" s="84">
        <v>7.7295987072448158</v>
      </c>
      <c r="F31" s="84">
        <v>13.781965006729473</v>
      </c>
      <c r="G31" s="84">
        <v>9.8958333333333321</v>
      </c>
      <c r="H31" s="84">
        <v>14.236999147485079</v>
      </c>
      <c r="I31" s="120">
        <f t="shared" si="0"/>
        <v>4.3411658141517471</v>
      </c>
      <c r="J31" s="3"/>
      <c r="K31" s="3"/>
      <c r="L31" s="3"/>
      <c r="M31" s="3"/>
      <c r="N31" s="3"/>
    </row>
    <row r="32" spans="1:14" x14ac:dyDescent="0.25">
      <c r="A32" s="59" t="s">
        <v>13</v>
      </c>
      <c r="B32" s="84">
        <v>3.7645226195884987</v>
      </c>
      <c r="C32" s="84">
        <v>16.273376402584155</v>
      </c>
      <c r="D32" s="84">
        <v>7.9471982758620694</v>
      </c>
      <c r="E32" s="84">
        <v>4.1467086355549476</v>
      </c>
      <c r="F32" s="84">
        <v>2.8684067427949973</v>
      </c>
      <c r="G32" s="84">
        <v>6.1052773290253093</v>
      </c>
      <c r="H32" s="84">
        <v>5.5296004462729238</v>
      </c>
      <c r="I32" s="120">
        <f t="shared" si="0"/>
        <v>-0.57567688275238549</v>
      </c>
      <c r="J32" s="3"/>
      <c r="K32" s="3"/>
      <c r="L32" s="3"/>
      <c r="M32" s="3"/>
      <c r="N32" s="3"/>
    </row>
    <row r="33" spans="1:14" x14ac:dyDescent="0.25">
      <c r="A33" s="59" t="s">
        <v>14</v>
      </c>
      <c r="B33" s="84">
        <v>1.3895514030321254</v>
      </c>
      <c r="C33" s="84">
        <v>8.5775072146272606</v>
      </c>
      <c r="D33" s="84">
        <v>16.787992977347667</v>
      </c>
      <c r="E33" s="84">
        <v>1.9107075293227391</v>
      </c>
      <c r="F33" s="84">
        <v>3.1549074035712805</v>
      </c>
      <c r="G33" s="84">
        <v>2.1217921014179582</v>
      </c>
      <c r="H33" s="84">
        <v>2.5372449192505111</v>
      </c>
      <c r="I33" s="120">
        <f t="shared" si="0"/>
        <v>0.41545281783255295</v>
      </c>
      <c r="J33" s="3"/>
      <c r="K33" s="3"/>
      <c r="L33" s="3"/>
      <c r="M33" s="3"/>
      <c r="N33" s="3"/>
    </row>
    <row r="34" spans="1:14" x14ac:dyDescent="0.25">
      <c r="A34" s="59" t="s">
        <v>30</v>
      </c>
      <c r="B34" s="84">
        <v>1.2202066216546004</v>
      </c>
      <c r="C34" s="84">
        <v>6.0387905479800121</v>
      </c>
      <c r="D34" s="84">
        <v>1.1644832605531297</v>
      </c>
      <c r="E34" s="84">
        <v>4.34627079234484</v>
      </c>
      <c r="F34" s="84">
        <v>4.0228857500446988</v>
      </c>
      <c r="G34" s="84">
        <v>2.4148108398175476</v>
      </c>
      <c r="H34" s="84">
        <v>3.8603770181293404</v>
      </c>
      <c r="I34" s="120">
        <f t="shared" si="0"/>
        <v>1.4455661783117928</v>
      </c>
      <c r="J34" s="3"/>
      <c r="K34" s="3"/>
      <c r="L34" s="3"/>
      <c r="M34" s="3"/>
      <c r="N34" s="3"/>
    </row>
    <row r="35" spans="1:14" x14ac:dyDescent="0.25">
      <c r="A35" s="59" t="s">
        <v>15</v>
      </c>
      <c r="B35" s="84">
        <v>0.15961691939345571</v>
      </c>
      <c r="C35" s="84">
        <v>13.807798849350094</v>
      </c>
      <c r="D35" s="84">
        <v>1.1071652391894715</v>
      </c>
      <c r="E35" s="84">
        <v>11.132854968471406</v>
      </c>
      <c r="F35" s="84">
        <v>11.421911421911423</v>
      </c>
      <c r="G35" s="84">
        <v>7.9412390887800726</v>
      </c>
      <c r="H35" s="84">
        <v>13.189655172413794</v>
      </c>
      <c r="I35" s="120">
        <f t="shared" si="0"/>
        <v>5.248416083633721</v>
      </c>
      <c r="J35" s="3"/>
      <c r="K35" s="3"/>
      <c r="L35" s="3"/>
      <c r="M35" s="3"/>
      <c r="N35" s="3"/>
    </row>
    <row r="36" spans="1:14" x14ac:dyDescent="0.25">
      <c r="A36" s="59" t="s">
        <v>16</v>
      </c>
      <c r="B36" s="84">
        <v>3.2862306933946768E-2</v>
      </c>
      <c r="C36" s="84">
        <v>4.2805400065854462</v>
      </c>
      <c r="D36" s="84">
        <v>1.6546018614270943</v>
      </c>
      <c r="E36" s="84">
        <v>2.3186485591255379</v>
      </c>
      <c r="F36" s="84">
        <v>0.78247261345852892</v>
      </c>
      <c r="G36" s="84">
        <v>2.67536704730832</v>
      </c>
      <c r="H36" s="84">
        <v>3.9727988546886186</v>
      </c>
      <c r="I36" s="120">
        <f t="shared" si="0"/>
        <v>1.2974318073802986</v>
      </c>
      <c r="J36" s="3"/>
      <c r="K36" s="3"/>
      <c r="L36" s="3"/>
      <c r="M36" s="3"/>
      <c r="N36" s="3"/>
    </row>
    <row r="37" spans="1:14" x14ac:dyDescent="0.25">
      <c r="A37" s="59" t="s">
        <v>17</v>
      </c>
      <c r="B37" s="84">
        <v>9.5267138326421072</v>
      </c>
      <c r="C37" s="84">
        <v>23.64027688906986</v>
      </c>
      <c r="D37" s="84">
        <v>6.4374542794440384</v>
      </c>
      <c r="E37" s="84">
        <v>10.548025928108427</v>
      </c>
      <c r="F37" s="84">
        <v>9.0297503363731497</v>
      </c>
      <c r="G37" s="84">
        <v>8.369631398997706</v>
      </c>
      <c r="H37" s="84">
        <v>12.491794054206133</v>
      </c>
      <c r="I37" s="120">
        <f t="shared" si="0"/>
        <v>4.1221626552084274</v>
      </c>
      <c r="J37" s="3"/>
      <c r="K37" s="3"/>
      <c r="L37" s="3"/>
      <c r="M37" s="3"/>
      <c r="N37" s="3"/>
    </row>
    <row r="38" spans="1:14" x14ac:dyDescent="0.25">
      <c r="A38" s="59" t="s">
        <v>18</v>
      </c>
      <c r="B38" s="84">
        <v>0.49078127072556038</v>
      </c>
      <c r="C38" s="84">
        <v>7.7916723924694242</v>
      </c>
      <c r="D38" s="84">
        <v>2.9846582984658299</v>
      </c>
      <c r="E38" s="84">
        <v>2.4270482603815937</v>
      </c>
      <c r="F38" s="84">
        <v>2.2038567493112948</v>
      </c>
      <c r="G38" s="84">
        <v>2.2583680602231482</v>
      </c>
      <c r="H38" s="84">
        <v>2.0656634746922022</v>
      </c>
      <c r="I38" s="120">
        <f t="shared" si="0"/>
        <v>-0.19270458553094594</v>
      </c>
      <c r="J38" s="3"/>
      <c r="K38" s="3"/>
      <c r="L38" s="3"/>
      <c r="M38" s="3"/>
      <c r="N38" s="3"/>
    </row>
    <row r="39" spans="1:14" x14ac:dyDescent="0.25">
      <c r="A39" s="59" t="s">
        <v>29</v>
      </c>
      <c r="B39" s="84">
        <v>2.7538155275381553</v>
      </c>
      <c r="C39" s="84">
        <v>6.7928039702233249</v>
      </c>
      <c r="D39" s="84">
        <v>0.17431725740848344</v>
      </c>
      <c r="E39" s="84">
        <v>1.4072372199885124</v>
      </c>
      <c r="F39" s="84">
        <v>2.8964306612053834</v>
      </c>
      <c r="G39" s="84">
        <v>2.0772381509654769</v>
      </c>
      <c r="H39" s="84">
        <v>2.303484019579614</v>
      </c>
      <c r="I39" s="120">
        <f t="shared" si="0"/>
        <v>0.22624586861413709</v>
      </c>
      <c r="J39" s="3"/>
      <c r="K39" s="3"/>
      <c r="L39" s="3"/>
      <c r="M39" s="3"/>
      <c r="N39" s="3"/>
    </row>
    <row r="40" spans="1:14" x14ac:dyDescent="0.25">
      <c r="A40" s="59" t="s">
        <v>19</v>
      </c>
      <c r="B40" s="84">
        <v>0.18422567645365573</v>
      </c>
      <c r="C40" s="84">
        <v>7.3571024335031128</v>
      </c>
      <c r="D40" s="84">
        <v>2.8451779775834463</v>
      </c>
      <c r="E40" s="84">
        <v>0.69547938400397413</v>
      </c>
      <c r="F40" s="84">
        <v>0.15992126952884733</v>
      </c>
      <c r="G40" s="84">
        <v>0</v>
      </c>
      <c r="H40" s="84">
        <v>0.1280558789289872</v>
      </c>
      <c r="I40" s="120">
        <f t="shared" si="0"/>
        <v>0.1280558789289872</v>
      </c>
      <c r="J40" s="3"/>
      <c r="K40" s="3"/>
      <c r="L40" s="3"/>
      <c r="M40" s="3"/>
      <c r="N40" s="3"/>
    </row>
    <row r="41" spans="1:14" x14ac:dyDescent="0.25">
      <c r="A41" s="59" t="s">
        <v>20</v>
      </c>
      <c r="B41" s="84">
        <v>3.1033223804308143</v>
      </c>
      <c r="C41" s="84">
        <v>13.23283082077052</v>
      </c>
      <c r="D41" s="84">
        <v>2.6105182926829267</v>
      </c>
      <c r="E41" s="84">
        <v>3.7931034482758621</v>
      </c>
      <c r="F41" s="84">
        <v>1.3148148148148149</v>
      </c>
      <c r="G41" s="84">
        <v>3.316460115203351</v>
      </c>
      <c r="H41" s="84">
        <v>1.654306902452938</v>
      </c>
      <c r="I41" s="120">
        <f t="shared" si="0"/>
        <v>-1.6621532127504131</v>
      </c>
      <c r="J41" s="3"/>
      <c r="K41" s="3"/>
      <c r="L41" s="3"/>
      <c r="M41" s="3"/>
      <c r="N41" s="3"/>
    </row>
    <row r="42" spans="1:14" x14ac:dyDescent="0.25">
      <c r="A42" s="59" t="s">
        <v>21</v>
      </c>
      <c r="B42" s="84">
        <v>0.97239648682559598</v>
      </c>
      <c r="C42" s="84">
        <v>4.1693531055233182</v>
      </c>
      <c r="D42" s="84">
        <v>3.7428243398392653</v>
      </c>
      <c r="E42" s="84">
        <v>0.84646132142017405</v>
      </c>
      <c r="F42" s="84">
        <v>0.67481538069773361</v>
      </c>
      <c r="G42" s="84">
        <v>2.8098402704908478</v>
      </c>
      <c r="H42" s="84">
        <v>1.4411901441190145</v>
      </c>
      <c r="I42" s="120">
        <f t="shared" si="0"/>
        <v>-1.3686501263718334</v>
      </c>
      <c r="J42" s="3"/>
      <c r="K42" s="3"/>
      <c r="L42" s="3"/>
      <c r="M42" s="3"/>
      <c r="N42" s="3"/>
    </row>
    <row r="43" spans="1:14" x14ac:dyDescent="0.25">
      <c r="A43" s="59" t="s">
        <v>22</v>
      </c>
      <c r="B43" s="84">
        <v>0.80407610859008039</v>
      </c>
      <c r="C43" s="84">
        <v>10.573643410852714</v>
      </c>
      <c r="D43" s="84">
        <v>10.01060124185976</v>
      </c>
      <c r="E43" s="84">
        <v>1.7302762745656508</v>
      </c>
      <c r="F43" s="84">
        <v>3.8154046148846281</v>
      </c>
      <c r="G43" s="84">
        <v>3.790011127839235</v>
      </c>
      <c r="H43" s="84">
        <v>3.3319843518143801</v>
      </c>
      <c r="I43" s="120">
        <f t="shared" si="0"/>
        <v>-0.45802677602485486</v>
      </c>
      <c r="J43" s="3"/>
      <c r="K43" s="3"/>
      <c r="L43" s="3"/>
      <c r="M43" s="3"/>
      <c r="N43" s="3"/>
    </row>
    <row r="44" spans="1:14" x14ac:dyDescent="0.25">
      <c r="A44" s="59" t="s">
        <v>23</v>
      </c>
      <c r="B44" s="84">
        <v>0</v>
      </c>
      <c r="C44" s="84">
        <v>0.40352164343360231</v>
      </c>
      <c r="D44" s="84">
        <v>0.31858407079646017</v>
      </c>
      <c r="E44" s="84">
        <v>0</v>
      </c>
      <c r="F44" s="84">
        <v>2.3101719197707737</v>
      </c>
      <c r="G44" s="84">
        <v>7.036059806508356E-2</v>
      </c>
      <c r="H44" s="84">
        <v>0.48145506419400852</v>
      </c>
      <c r="I44" s="120">
        <f t="shared" si="0"/>
        <v>0.41109446612892497</v>
      </c>
      <c r="J44" s="3"/>
      <c r="K44" s="3"/>
      <c r="L44" s="3"/>
      <c r="M44" s="3"/>
      <c r="N44" s="3"/>
    </row>
    <row r="45" spans="1:14" x14ac:dyDescent="0.25">
      <c r="A45" s="59" t="s">
        <v>24</v>
      </c>
      <c r="B45" s="84">
        <v>6.9707497478426541</v>
      </c>
      <c r="C45" s="84">
        <v>5.0962379702537186</v>
      </c>
      <c r="D45" s="84">
        <v>2.2950113134360519</v>
      </c>
      <c r="E45" s="84">
        <v>0.13327410039982232</v>
      </c>
      <c r="F45" s="84">
        <v>0.91835591891589208</v>
      </c>
      <c r="G45" s="84">
        <v>2.0328471344894914</v>
      </c>
      <c r="H45" s="84">
        <v>2.0039845306457282</v>
      </c>
      <c r="I45" s="120">
        <f t="shared" si="0"/>
        <v>-2.8862603843763157E-2</v>
      </c>
      <c r="J45" s="3"/>
      <c r="K45" s="3"/>
      <c r="L45" s="3"/>
      <c r="M45" s="3"/>
      <c r="N45" s="3"/>
    </row>
    <row r="46" spans="1:14" x14ac:dyDescent="0.25">
      <c r="A46" s="59" t="s">
        <v>25</v>
      </c>
      <c r="B46" s="84">
        <v>0.22515278224509491</v>
      </c>
      <c r="C46" s="84">
        <v>1.8076178179470628</v>
      </c>
      <c r="D46" s="84">
        <v>3.1807854592664722</v>
      </c>
      <c r="E46" s="84">
        <v>2.6334269662921348</v>
      </c>
      <c r="F46" s="84">
        <v>1.383399209486166</v>
      </c>
      <c r="G46" s="84">
        <v>1.3259327782917052</v>
      </c>
      <c r="H46" s="84">
        <v>3.6819306930693068</v>
      </c>
      <c r="I46" s="120">
        <f t="shared" si="0"/>
        <v>2.3559979147776016</v>
      </c>
      <c r="J46" s="3"/>
      <c r="K46" s="3"/>
      <c r="L46" s="3"/>
      <c r="M46" s="3"/>
      <c r="N46" s="3"/>
    </row>
    <row r="47" spans="1:14" x14ac:dyDescent="0.25">
      <c r="A47" s="59" t="s">
        <v>53</v>
      </c>
      <c r="B47" s="84">
        <v>3.0253916801728797</v>
      </c>
      <c r="C47" s="84">
        <v>2.6934916446789798</v>
      </c>
      <c r="D47" s="84">
        <v>2.1701008329679965</v>
      </c>
      <c r="E47" s="84">
        <v>2.5088452878739145</v>
      </c>
      <c r="F47" s="84">
        <v>3.0101053536873792</v>
      </c>
      <c r="G47" s="84">
        <v>1.2616566099835436</v>
      </c>
      <c r="H47" s="84">
        <v>1.4901783698351772</v>
      </c>
      <c r="I47" s="120">
        <f t="shared" si="0"/>
        <v>0.22852175985163359</v>
      </c>
      <c r="J47" s="3"/>
      <c r="K47" s="3"/>
      <c r="L47" s="3"/>
      <c r="M47" s="3"/>
      <c r="N47" s="3"/>
    </row>
    <row r="48" spans="1:14" x14ac:dyDescent="0.25">
      <c r="A48" s="59" t="s">
        <v>26</v>
      </c>
      <c r="B48" s="84">
        <v>4.1506010433204805</v>
      </c>
      <c r="C48" s="84">
        <v>8.4742135673015202</v>
      </c>
      <c r="D48" s="84">
        <v>0.233843537414966</v>
      </c>
      <c r="E48" s="84">
        <v>3.3684645587931392</v>
      </c>
      <c r="F48" s="84">
        <v>9.2295658975361761</v>
      </c>
      <c r="G48" s="84">
        <v>8.00684670977558</v>
      </c>
      <c r="H48" s="84">
        <v>9.9000565717518398</v>
      </c>
      <c r="I48" s="120">
        <f t="shared" si="0"/>
        <v>1.8932098619762598</v>
      </c>
      <c r="J48" s="3"/>
      <c r="K48" s="3"/>
      <c r="L48" s="3"/>
      <c r="M48" s="3"/>
      <c r="N48" s="3"/>
    </row>
    <row r="49" spans="1:14" x14ac:dyDescent="0.25">
      <c r="A49" s="59" t="s">
        <v>27</v>
      </c>
      <c r="B49" s="84">
        <v>4.0650406504065035</v>
      </c>
      <c r="C49" s="84">
        <v>20.466173962478681</v>
      </c>
      <c r="D49" s="84">
        <v>18.654073199527748</v>
      </c>
      <c r="E49" s="84">
        <v>26.410703897614891</v>
      </c>
      <c r="F49" s="84">
        <v>9.378881987577639</v>
      </c>
      <c r="G49" s="84">
        <v>5.4123711340206189</v>
      </c>
      <c r="H49" s="84">
        <v>14.174252275682706</v>
      </c>
      <c r="I49" s="120">
        <f t="shared" si="0"/>
        <v>8.7618811416620872</v>
      </c>
      <c r="J49" s="3"/>
      <c r="K49" s="3"/>
      <c r="L49" s="3"/>
      <c r="M49" s="3"/>
      <c r="N49" s="3"/>
    </row>
    <row r="50" spans="1:14" x14ac:dyDescent="0.25">
      <c r="A50" s="57" t="s">
        <v>50</v>
      </c>
      <c r="B50" s="89">
        <v>0.41845982983955732</v>
      </c>
      <c r="C50" s="89">
        <v>4.5698326283621054</v>
      </c>
      <c r="D50" s="89">
        <v>0.69413526530942649</v>
      </c>
      <c r="E50" s="89">
        <v>1.7180036561633873</v>
      </c>
      <c r="F50" s="89">
        <v>1.0292471175188074</v>
      </c>
      <c r="G50" s="89">
        <v>1.3302498418722326</v>
      </c>
      <c r="H50" s="89">
        <v>2.0248229771660431</v>
      </c>
      <c r="I50" s="121">
        <f t="shared" si="0"/>
        <v>0.69457313529381048</v>
      </c>
      <c r="J50" s="3"/>
      <c r="K50" s="3"/>
      <c r="L50" s="3"/>
      <c r="M50" s="3"/>
      <c r="N50" s="3"/>
    </row>
    <row r="51" spans="1:14" x14ac:dyDescent="0.25">
      <c r="A51" s="59" t="s">
        <v>32</v>
      </c>
      <c r="B51" s="84">
        <v>0.4602385913493463</v>
      </c>
      <c r="C51" s="84">
        <v>5.1228742291160536</v>
      </c>
      <c r="D51" s="84">
        <v>0.51899907321594074</v>
      </c>
      <c r="E51" s="84">
        <v>1.882347662209459</v>
      </c>
      <c r="F51" s="84">
        <v>1.1182969549986526</v>
      </c>
      <c r="G51" s="84">
        <v>1.4407853071564281</v>
      </c>
      <c r="H51" s="84">
        <v>2.2599125925590453</v>
      </c>
      <c r="I51" s="120">
        <f t="shared" si="0"/>
        <v>0.81912728540261726</v>
      </c>
      <c r="J51" s="3"/>
      <c r="K51" s="3"/>
      <c r="L51" s="3"/>
      <c r="M51" s="3"/>
      <c r="N51" s="3"/>
    </row>
    <row r="52" spans="1:14" x14ac:dyDescent="0.25">
      <c r="A52" s="59" t="s">
        <v>28</v>
      </c>
      <c r="B52" s="84">
        <v>0.14814814814814814</v>
      </c>
      <c r="C52" s="84">
        <v>0.9844010298349235</v>
      </c>
      <c r="D52" s="84">
        <v>1.9027822193795971</v>
      </c>
      <c r="E52" s="84">
        <v>0.55546738612918589</v>
      </c>
      <c r="F52" s="84">
        <v>0.40758739614359618</v>
      </c>
      <c r="G52" s="84">
        <v>0.56426332288401249</v>
      </c>
      <c r="H52" s="84">
        <v>0.32706459525756337</v>
      </c>
      <c r="I52" s="120">
        <f t="shared" si="0"/>
        <v>-0.23719872762644911</v>
      </c>
      <c r="J52" s="3"/>
      <c r="K52" s="3"/>
      <c r="L52" s="3"/>
      <c r="M52" s="3"/>
      <c r="N52" s="3"/>
    </row>
    <row r="53" spans="1:14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4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4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4" hidden="1" x14ac:dyDescent="0.25">
      <c r="A56" s="57" t="s">
        <v>37</v>
      </c>
      <c r="B56" s="84">
        <v>2.0137849352700234</v>
      </c>
      <c r="C56" s="84">
        <v>9.6996678353939831</v>
      </c>
      <c r="D56" s="84">
        <v>6.319448817071029</v>
      </c>
      <c r="E56" s="84">
        <v>3.451314677342209</v>
      </c>
      <c r="F56" s="84">
        <v>3.4245796811519837</v>
      </c>
      <c r="G56" s="84">
        <v>3.4202863227031326</v>
      </c>
      <c r="H56" s="84">
        <v>3.9060089196677703</v>
      </c>
      <c r="I56" s="84">
        <f t="shared" si="0"/>
        <v>0.48572259696463771</v>
      </c>
    </row>
    <row r="57" spans="1:14" ht="6.7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14" ht="24" customHeight="1" x14ac:dyDescent="0.25">
      <c r="A58" s="99" t="s">
        <v>209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1.5703125" style="56" bestFit="1" customWidth="1"/>
    <col min="11" max="11" width="15.140625" style="56" bestFit="1" customWidth="1"/>
    <col min="12" max="12" width="11.5703125" style="56" bestFit="1" customWidth="1"/>
    <col min="13" max="13" width="15.140625" style="56" bestFit="1" customWidth="1"/>
    <col min="14" max="14" width="11.5703125" style="56" bestFit="1" customWidth="1"/>
    <col min="15" max="15" width="20.140625" style="56" bestFit="1" customWidth="1"/>
    <col min="16" max="16" width="16.5703125" style="56" bestFit="1" customWidth="1"/>
    <col min="17" max="16384" width="11.42578125" style="56"/>
  </cols>
  <sheetData>
    <row r="1" spans="1:9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9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9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9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9" s="4" customFormat="1" ht="15" customHeight="1" x14ac:dyDescent="0.25">
      <c r="A5" s="144" t="s">
        <v>213</v>
      </c>
      <c r="B5" s="90"/>
      <c r="C5" s="90"/>
      <c r="D5" s="90"/>
      <c r="E5" s="90"/>
      <c r="F5" s="90"/>
      <c r="G5" s="90"/>
      <c r="H5" s="91"/>
      <c r="I5" s="91"/>
    </row>
    <row r="6" spans="1:9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9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9" s="77" customFormat="1" ht="15" customHeight="1" x14ac:dyDescent="0.35">
      <c r="A8" s="145">
        <v>2012</v>
      </c>
      <c r="B8" s="146">
        <f>$B$56</f>
        <v>0</v>
      </c>
      <c r="C8" s="78"/>
      <c r="D8" s="76"/>
      <c r="E8" s="72"/>
      <c r="F8" s="72"/>
      <c r="G8" s="72"/>
      <c r="H8" s="72"/>
      <c r="I8" s="6"/>
    </row>
    <row r="9" spans="1:9" s="77" customFormat="1" ht="15" customHeight="1" x14ac:dyDescent="0.35">
      <c r="A9" s="86">
        <v>2013</v>
      </c>
      <c r="B9" s="116">
        <f>$C$56</f>
        <v>43.151741227954545</v>
      </c>
      <c r="C9" s="76"/>
      <c r="D9" s="76"/>
      <c r="E9" s="72"/>
      <c r="F9" s="72"/>
      <c r="G9" s="72"/>
      <c r="H9" s="72"/>
      <c r="I9" s="6"/>
    </row>
    <row r="10" spans="1:9" s="77" customFormat="1" ht="15" customHeight="1" x14ac:dyDescent="0.35">
      <c r="A10" s="86">
        <v>2014</v>
      </c>
      <c r="B10" s="116">
        <f>$D$56</f>
        <v>68.939989832183528</v>
      </c>
      <c r="C10" s="76"/>
      <c r="D10" s="76"/>
      <c r="E10" s="72"/>
      <c r="F10" s="72"/>
      <c r="G10" s="72"/>
      <c r="H10" s="72"/>
      <c r="I10" s="6"/>
    </row>
    <row r="11" spans="1:9" s="77" customFormat="1" ht="15" customHeight="1" x14ac:dyDescent="0.35">
      <c r="A11" s="86">
        <v>2015</v>
      </c>
      <c r="B11" s="116">
        <f>$E$56</f>
        <v>80.631189663419008</v>
      </c>
      <c r="C11" s="76"/>
      <c r="D11" s="76"/>
      <c r="E11" s="72"/>
      <c r="F11" s="72"/>
      <c r="G11" s="72"/>
      <c r="H11" s="72"/>
      <c r="I11" s="6"/>
    </row>
    <row r="12" spans="1:9" s="77" customFormat="1" ht="15" customHeight="1" x14ac:dyDescent="0.35">
      <c r="A12" s="86">
        <v>2016</v>
      </c>
      <c r="B12" s="116">
        <f>$F$56</f>
        <v>82.694934739754672</v>
      </c>
      <c r="C12" s="76"/>
      <c r="D12" s="76"/>
      <c r="E12" s="72"/>
      <c r="F12" s="72"/>
      <c r="G12" s="72"/>
      <c r="H12" s="72"/>
      <c r="I12" s="6"/>
    </row>
    <row r="13" spans="1:9" s="77" customFormat="1" ht="15" customHeight="1" x14ac:dyDescent="0.35">
      <c r="A13" s="86">
        <v>2017</v>
      </c>
      <c r="B13" s="116">
        <f>$G$56</f>
        <v>85.322276278317986</v>
      </c>
      <c r="C13" s="76"/>
      <c r="D13" s="76"/>
      <c r="E13" s="72"/>
      <c r="F13" s="72"/>
      <c r="G13" s="72"/>
      <c r="H13" s="72"/>
      <c r="I13" s="6"/>
    </row>
    <row r="14" spans="1:9" s="77" customFormat="1" ht="15" customHeight="1" x14ac:dyDescent="0.35">
      <c r="A14" s="86">
        <v>2018</v>
      </c>
      <c r="B14" s="116">
        <f>$H$56</f>
        <v>88.427034356637279</v>
      </c>
      <c r="C14" s="76"/>
      <c r="D14" s="76"/>
      <c r="E14" s="72"/>
      <c r="F14" s="72"/>
      <c r="G14" s="72"/>
      <c r="H14" s="72"/>
      <c r="I14" s="6"/>
    </row>
    <row r="15" spans="1:9" s="77" customFormat="1" ht="15" customHeight="1" x14ac:dyDescent="0.35">
      <c r="A15" s="88" t="s">
        <v>47</v>
      </c>
      <c r="B15" s="87">
        <f>B14-B13</f>
        <v>3.1047580783192927</v>
      </c>
      <c r="C15" s="76"/>
      <c r="D15" s="76"/>
      <c r="E15" s="72"/>
      <c r="F15" s="72"/>
      <c r="G15" s="72"/>
      <c r="H15" s="72"/>
      <c r="I15" s="6"/>
    </row>
    <row r="16" spans="1:9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137"/>
      <c r="I16" s="7"/>
    </row>
    <row r="17" spans="1:14" hidden="1" x14ac:dyDescent="0.25">
      <c r="A17" s="94" t="s">
        <v>214</v>
      </c>
      <c r="B17" s="55" t="s">
        <v>45</v>
      </c>
      <c r="I17" s="92" t="s">
        <v>170</v>
      </c>
      <c r="J17" s="3"/>
      <c r="K17" s="3"/>
      <c r="L17" s="3"/>
      <c r="M17" s="3"/>
      <c r="N17" s="3"/>
    </row>
    <row r="18" spans="1:14" x14ac:dyDescent="0.25">
      <c r="A18" s="55" t="s">
        <v>168</v>
      </c>
      <c r="B18" s="140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</row>
    <row r="19" spans="1:14" x14ac:dyDescent="0.25">
      <c r="A19" s="57" t="s">
        <v>49</v>
      </c>
      <c r="B19" s="147">
        <v>0</v>
      </c>
      <c r="C19" s="84">
        <v>46.045510188818866</v>
      </c>
      <c r="D19" s="84">
        <v>66.494695078818395</v>
      </c>
      <c r="E19" s="84">
        <v>78.915059853050437</v>
      </c>
      <c r="F19" s="84">
        <v>81.060058752577717</v>
      </c>
      <c r="G19" s="84">
        <v>83.861708342265644</v>
      </c>
      <c r="H19" s="84">
        <v>87.506894709666398</v>
      </c>
      <c r="I19" s="119">
        <f>H19-G19</f>
        <v>3.6451863674007541</v>
      </c>
      <c r="J19" s="3"/>
      <c r="K19" s="3"/>
      <c r="L19" s="3"/>
      <c r="M19" s="3"/>
      <c r="N19" s="3"/>
    </row>
    <row r="20" spans="1:14" x14ac:dyDescent="0.25">
      <c r="A20" s="59" t="s">
        <v>1</v>
      </c>
      <c r="B20" s="148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77.47</v>
      </c>
      <c r="I20" s="120">
        <f t="shared" ref="I20:I56" si="0">H20-G20</f>
        <v>77.47</v>
      </c>
      <c r="J20" s="3"/>
      <c r="K20" s="3"/>
      <c r="L20" s="3"/>
      <c r="M20" s="3"/>
      <c r="N20" s="3"/>
    </row>
    <row r="21" spans="1:14" x14ac:dyDescent="0.25">
      <c r="A21" s="59" t="s">
        <v>3</v>
      </c>
      <c r="B21" s="147">
        <v>0</v>
      </c>
      <c r="C21" s="84">
        <v>79.830872144389758</v>
      </c>
      <c r="D21" s="84">
        <v>100</v>
      </c>
      <c r="E21" s="84">
        <v>100</v>
      </c>
      <c r="F21" s="84">
        <v>100</v>
      </c>
      <c r="G21" s="84">
        <v>100</v>
      </c>
      <c r="H21" s="84">
        <v>100</v>
      </c>
      <c r="I21" s="120">
        <f t="shared" si="0"/>
        <v>0</v>
      </c>
      <c r="J21" s="3"/>
      <c r="K21" s="3"/>
      <c r="L21" s="3"/>
      <c r="M21" s="3"/>
      <c r="N21" s="3"/>
    </row>
    <row r="22" spans="1:14" x14ac:dyDescent="0.25">
      <c r="A22" s="59" t="s">
        <v>4</v>
      </c>
      <c r="B22" s="148">
        <v>0</v>
      </c>
      <c r="C22" s="84">
        <v>0</v>
      </c>
      <c r="D22" s="84">
        <v>0</v>
      </c>
      <c r="E22" s="84">
        <v>0</v>
      </c>
      <c r="F22" s="84">
        <v>0</v>
      </c>
      <c r="G22" s="84">
        <v>64.2</v>
      </c>
      <c r="H22" s="84">
        <v>58.46</v>
      </c>
      <c r="I22" s="120">
        <f t="shared" si="0"/>
        <v>-5.740000000000002</v>
      </c>
      <c r="J22" s="3"/>
      <c r="K22" s="3"/>
      <c r="L22" s="3"/>
      <c r="M22" s="3"/>
      <c r="N22" s="3"/>
    </row>
    <row r="23" spans="1:14" x14ac:dyDescent="0.25">
      <c r="A23" s="59" t="s">
        <v>5</v>
      </c>
      <c r="B23" s="147">
        <v>0</v>
      </c>
      <c r="C23" s="84">
        <v>27.720207253886009</v>
      </c>
      <c r="D23" s="84">
        <v>100</v>
      </c>
      <c r="E23" s="84">
        <v>100</v>
      </c>
      <c r="F23" s="84">
        <v>100</v>
      </c>
      <c r="G23" s="84">
        <v>100</v>
      </c>
      <c r="H23" s="84">
        <v>100</v>
      </c>
      <c r="I23" s="120">
        <f t="shared" si="0"/>
        <v>0</v>
      </c>
      <c r="J23" s="3"/>
      <c r="K23" s="3"/>
      <c r="L23" s="3"/>
      <c r="M23" s="3"/>
      <c r="N23" s="3"/>
    </row>
    <row r="24" spans="1:14" x14ac:dyDescent="0.25">
      <c r="A24" s="59" t="s">
        <v>6</v>
      </c>
      <c r="B24" s="148">
        <v>0</v>
      </c>
      <c r="C24" s="84">
        <v>0</v>
      </c>
      <c r="D24" s="84">
        <v>27.813781245866949</v>
      </c>
      <c r="E24" s="84">
        <v>27.01</v>
      </c>
      <c r="F24" s="84">
        <v>26.899999999999995</v>
      </c>
      <c r="G24" s="84">
        <v>27.799999999999997</v>
      </c>
      <c r="H24" s="84">
        <v>26.87</v>
      </c>
      <c r="I24" s="120">
        <f t="shared" si="0"/>
        <v>-0.92999999999999616</v>
      </c>
      <c r="J24" s="3"/>
      <c r="K24" s="3"/>
      <c r="L24" s="3"/>
      <c r="M24" s="3"/>
      <c r="N24" s="3"/>
    </row>
    <row r="25" spans="1:14" x14ac:dyDescent="0.25">
      <c r="A25" s="59" t="s">
        <v>7</v>
      </c>
      <c r="B25" s="147">
        <v>0</v>
      </c>
      <c r="C25" s="84">
        <v>35.119047619047613</v>
      </c>
      <c r="D25" s="84">
        <v>64.63815789473685</v>
      </c>
      <c r="E25" s="84">
        <v>65.900000000000006</v>
      </c>
      <c r="F25" s="84">
        <v>80.199999999999989</v>
      </c>
      <c r="G25" s="84">
        <v>81</v>
      </c>
      <c r="H25" s="84">
        <v>81.94</v>
      </c>
      <c r="I25" s="120">
        <f t="shared" si="0"/>
        <v>0.93999999999999773</v>
      </c>
      <c r="J25" s="3"/>
      <c r="K25" s="3"/>
      <c r="L25" s="3"/>
      <c r="M25" s="3"/>
      <c r="N25" s="3"/>
    </row>
    <row r="26" spans="1:14" x14ac:dyDescent="0.25">
      <c r="A26" s="59" t="s">
        <v>31</v>
      </c>
      <c r="B26" s="148">
        <v>0</v>
      </c>
      <c r="C26" s="84">
        <v>71.752629578000253</v>
      </c>
      <c r="D26" s="84">
        <v>100</v>
      </c>
      <c r="E26" s="84">
        <v>100</v>
      </c>
      <c r="F26" s="84">
        <v>100</v>
      </c>
      <c r="G26" s="84">
        <v>100</v>
      </c>
      <c r="H26" s="84">
        <v>100</v>
      </c>
      <c r="I26" s="120">
        <f t="shared" si="0"/>
        <v>0</v>
      </c>
      <c r="J26" s="3"/>
      <c r="K26" s="3"/>
      <c r="L26" s="3"/>
      <c r="M26" s="3"/>
      <c r="N26" s="3"/>
    </row>
    <row r="27" spans="1:14" x14ac:dyDescent="0.25">
      <c r="A27" s="59" t="s">
        <v>8</v>
      </c>
      <c r="B27" s="147">
        <v>0</v>
      </c>
      <c r="C27" s="84">
        <v>100</v>
      </c>
      <c r="D27" s="84">
        <v>74.11955514365151</v>
      </c>
      <c r="E27" s="84">
        <v>100</v>
      </c>
      <c r="F27" s="84">
        <v>100</v>
      </c>
      <c r="G27" s="84">
        <v>100</v>
      </c>
      <c r="H27" s="84">
        <v>100</v>
      </c>
      <c r="I27" s="120">
        <f t="shared" si="0"/>
        <v>0</v>
      </c>
      <c r="J27" s="3"/>
      <c r="K27" s="3"/>
      <c r="L27" s="3"/>
      <c r="M27" s="3"/>
      <c r="N27" s="3"/>
    </row>
    <row r="28" spans="1:14" x14ac:dyDescent="0.25">
      <c r="A28" s="59" t="s">
        <v>9</v>
      </c>
      <c r="B28" s="148">
        <v>0</v>
      </c>
      <c r="C28" s="84">
        <v>34.479900538748446</v>
      </c>
      <c r="D28" s="84">
        <v>32.581554571083366</v>
      </c>
      <c r="E28" s="84">
        <v>31.7</v>
      </c>
      <c r="F28" s="84">
        <v>91.5</v>
      </c>
      <c r="G28" s="84">
        <v>92.6</v>
      </c>
      <c r="H28" s="84">
        <v>92.38</v>
      </c>
      <c r="I28" s="120">
        <f t="shared" si="0"/>
        <v>-0.21999999999999886</v>
      </c>
      <c r="J28" s="3"/>
      <c r="K28" s="3"/>
      <c r="L28" s="3"/>
      <c r="M28" s="3"/>
      <c r="N28" s="3"/>
    </row>
    <row r="29" spans="1:14" x14ac:dyDescent="0.25">
      <c r="A29" s="59" t="s">
        <v>10</v>
      </c>
      <c r="B29" s="147">
        <v>0</v>
      </c>
      <c r="C29" s="84">
        <v>72.40700218818381</v>
      </c>
      <c r="D29" s="84">
        <v>92.934077708227605</v>
      </c>
      <c r="E29" s="84">
        <v>92.2</v>
      </c>
      <c r="F29" s="84">
        <v>91.6</v>
      </c>
      <c r="G29" s="84">
        <v>100</v>
      </c>
      <c r="H29" s="84">
        <v>100</v>
      </c>
      <c r="I29" s="120">
        <f t="shared" si="0"/>
        <v>0</v>
      </c>
      <c r="J29" s="3"/>
      <c r="K29" s="3"/>
      <c r="L29" s="3"/>
      <c r="M29" s="3"/>
      <c r="N29" s="3"/>
    </row>
    <row r="30" spans="1:14" x14ac:dyDescent="0.25">
      <c r="A30" s="59" t="s">
        <v>11</v>
      </c>
      <c r="B30" s="148">
        <v>0</v>
      </c>
      <c r="C30" s="84">
        <v>0</v>
      </c>
      <c r="D30" s="84">
        <v>0</v>
      </c>
      <c r="E30" s="84">
        <v>40.299999999999997</v>
      </c>
      <c r="F30" s="84">
        <v>45.499999999999993</v>
      </c>
      <c r="G30" s="84">
        <v>45.9</v>
      </c>
      <c r="H30" s="84">
        <v>44.769999999999996</v>
      </c>
      <c r="I30" s="120">
        <f t="shared" si="0"/>
        <v>-1.1300000000000026</v>
      </c>
      <c r="J30" s="3"/>
      <c r="K30" s="3"/>
      <c r="L30" s="3"/>
      <c r="M30" s="3"/>
      <c r="N30" s="3"/>
    </row>
    <row r="31" spans="1:14" x14ac:dyDescent="0.25">
      <c r="A31" s="59" t="s">
        <v>12</v>
      </c>
      <c r="B31" s="147">
        <v>0</v>
      </c>
      <c r="C31" s="84">
        <v>0</v>
      </c>
      <c r="D31" s="84">
        <v>0</v>
      </c>
      <c r="E31" s="84">
        <v>63</v>
      </c>
      <c r="F31" s="84">
        <v>64.7</v>
      </c>
      <c r="G31" s="84">
        <v>100</v>
      </c>
      <c r="H31" s="84">
        <v>100</v>
      </c>
      <c r="I31" s="120">
        <f t="shared" si="0"/>
        <v>0</v>
      </c>
      <c r="J31" s="3"/>
      <c r="K31" s="3"/>
      <c r="L31" s="3"/>
      <c r="M31" s="3"/>
      <c r="N31" s="3"/>
    </row>
    <row r="32" spans="1:14" x14ac:dyDescent="0.25">
      <c r="A32" s="59" t="s">
        <v>13</v>
      </c>
      <c r="B32" s="148">
        <v>0</v>
      </c>
      <c r="C32" s="84">
        <v>80.238014280856845</v>
      </c>
      <c r="D32" s="84">
        <v>94.080010775862064</v>
      </c>
      <c r="E32" s="84">
        <v>96.4</v>
      </c>
      <c r="F32" s="84">
        <v>95.9</v>
      </c>
      <c r="G32" s="84">
        <v>95.800000000000011</v>
      </c>
      <c r="H32" s="84">
        <v>89.56</v>
      </c>
      <c r="I32" s="120">
        <f t="shared" si="0"/>
        <v>-6.2400000000000091</v>
      </c>
      <c r="J32" s="3"/>
      <c r="K32" s="3"/>
      <c r="L32" s="3"/>
      <c r="M32" s="3"/>
      <c r="N32" s="3"/>
    </row>
    <row r="33" spans="1:14" x14ac:dyDescent="0.25">
      <c r="A33" s="59" t="s">
        <v>14</v>
      </c>
      <c r="B33" s="147">
        <v>0</v>
      </c>
      <c r="C33" s="84">
        <v>70.876076927937987</v>
      </c>
      <c r="D33" s="84">
        <v>100</v>
      </c>
      <c r="E33" s="84">
        <v>100</v>
      </c>
      <c r="F33" s="84">
        <v>100</v>
      </c>
      <c r="G33" s="84">
        <v>100</v>
      </c>
      <c r="H33" s="84">
        <v>100</v>
      </c>
      <c r="I33" s="120">
        <f t="shared" si="0"/>
        <v>0</v>
      </c>
      <c r="J33" s="3"/>
      <c r="K33" s="3"/>
      <c r="L33" s="3"/>
      <c r="M33" s="3"/>
      <c r="N33" s="3"/>
    </row>
    <row r="34" spans="1:14" x14ac:dyDescent="0.25">
      <c r="A34" s="59" t="s">
        <v>30</v>
      </c>
      <c r="B34" s="148">
        <v>0</v>
      </c>
      <c r="C34" s="84">
        <v>0</v>
      </c>
      <c r="D34" s="84">
        <v>0</v>
      </c>
      <c r="E34" s="84">
        <v>26.8</v>
      </c>
      <c r="F34" s="84">
        <v>35.4</v>
      </c>
      <c r="G34" s="84">
        <v>37</v>
      </c>
      <c r="H34" s="84">
        <v>69.179999999999993</v>
      </c>
      <c r="I34" s="120">
        <f t="shared" si="0"/>
        <v>32.179999999999993</v>
      </c>
      <c r="J34" s="3"/>
      <c r="K34" s="3"/>
      <c r="L34" s="3"/>
      <c r="M34" s="3"/>
      <c r="N34" s="3"/>
    </row>
    <row r="35" spans="1:14" x14ac:dyDescent="0.25">
      <c r="A35" s="59" t="s">
        <v>15</v>
      </c>
      <c r="B35" s="147">
        <v>0</v>
      </c>
      <c r="C35" s="84">
        <v>74.32346047304496</v>
      </c>
      <c r="D35" s="84">
        <v>100</v>
      </c>
      <c r="E35" s="84">
        <v>100</v>
      </c>
      <c r="F35" s="84">
        <v>100</v>
      </c>
      <c r="G35" s="84">
        <v>100</v>
      </c>
      <c r="H35" s="84">
        <v>100</v>
      </c>
      <c r="I35" s="120">
        <f t="shared" si="0"/>
        <v>0</v>
      </c>
      <c r="J35" s="3"/>
      <c r="K35" s="3"/>
      <c r="L35" s="3"/>
      <c r="M35" s="3"/>
      <c r="N35" s="3"/>
    </row>
    <row r="36" spans="1:14" x14ac:dyDescent="0.25">
      <c r="A36" s="59" t="s">
        <v>16</v>
      </c>
      <c r="B36" s="148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63.239999999999995</v>
      </c>
      <c r="I36" s="120">
        <f t="shared" si="0"/>
        <v>63.239999999999995</v>
      </c>
      <c r="J36" s="3"/>
      <c r="K36" s="3"/>
      <c r="L36" s="3"/>
      <c r="M36" s="3"/>
      <c r="N36" s="3"/>
    </row>
    <row r="37" spans="1:14" x14ac:dyDescent="0.25">
      <c r="A37" s="59" t="s">
        <v>17</v>
      </c>
      <c r="B37" s="147">
        <v>0</v>
      </c>
      <c r="C37" s="84">
        <v>15.601186667442265</v>
      </c>
      <c r="D37" s="84">
        <v>24.427437960722525</v>
      </c>
      <c r="E37" s="84">
        <v>71.599999999999994</v>
      </c>
      <c r="F37" s="84">
        <v>68.599999999999994</v>
      </c>
      <c r="G37" s="84">
        <v>67.800000000000011</v>
      </c>
      <c r="H37" s="84">
        <v>66.959999999999994</v>
      </c>
      <c r="I37" s="120">
        <f t="shared" si="0"/>
        <v>-0.84000000000001762</v>
      </c>
      <c r="J37" s="3"/>
      <c r="K37" s="3"/>
      <c r="L37" s="3"/>
      <c r="M37" s="3"/>
      <c r="N37" s="3"/>
    </row>
    <row r="38" spans="1:14" x14ac:dyDescent="0.25">
      <c r="A38" s="59" t="s">
        <v>18</v>
      </c>
      <c r="B38" s="148">
        <v>0</v>
      </c>
      <c r="C38" s="84">
        <v>63.185378590078336</v>
      </c>
      <c r="D38" s="84">
        <v>100</v>
      </c>
      <c r="E38" s="84">
        <v>100</v>
      </c>
      <c r="F38" s="84">
        <v>100</v>
      </c>
      <c r="G38" s="84">
        <v>100</v>
      </c>
      <c r="H38" s="84">
        <v>100</v>
      </c>
      <c r="I38" s="120">
        <f t="shared" si="0"/>
        <v>0</v>
      </c>
      <c r="J38" s="3"/>
      <c r="K38" s="3"/>
      <c r="L38" s="3"/>
      <c r="M38" s="3"/>
      <c r="N38" s="3"/>
    </row>
    <row r="39" spans="1:14" x14ac:dyDescent="0.25">
      <c r="A39" s="59" t="s">
        <v>29</v>
      </c>
      <c r="B39" s="147">
        <v>0</v>
      </c>
      <c r="C39" s="84">
        <v>30.64516129032258</v>
      </c>
      <c r="D39" s="84">
        <v>42.82393957001743</v>
      </c>
      <c r="E39" s="84">
        <v>42.2</v>
      </c>
      <c r="F39" s="84">
        <v>42</v>
      </c>
      <c r="G39" s="84">
        <v>40.799999999999997</v>
      </c>
      <c r="H39" s="84">
        <v>81.029999999999987</v>
      </c>
      <c r="I39" s="120">
        <f t="shared" si="0"/>
        <v>40.22999999999999</v>
      </c>
      <c r="J39" s="3"/>
      <c r="K39" s="3"/>
      <c r="L39" s="3"/>
      <c r="M39" s="3"/>
      <c r="N39" s="3"/>
    </row>
    <row r="40" spans="1:14" x14ac:dyDescent="0.25">
      <c r="A40" s="59" t="s">
        <v>19</v>
      </c>
      <c r="B40" s="148">
        <v>0</v>
      </c>
      <c r="C40" s="84">
        <v>57.226938313525757</v>
      </c>
      <c r="D40" s="84">
        <v>61.152851336371462</v>
      </c>
      <c r="E40" s="84">
        <v>100</v>
      </c>
      <c r="F40" s="84">
        <v>100</v>
      </c>
      <c r="G40" s="84">
        <v>100</v>
      </c>
      <c r="H40" s="84">
        <v>100</v>
      </c>
      <c r="I40" s="120">
        <f t="shared" si="0"/>
        <v>0</v>
      </c>
      <c r="J40" s="3"/>
      <c r="K40" s="3"/>
      <c r="L40" s="3"/>
      <c r="M40" s="3"/>
      <c r="N40" s="3"/>
    </row>
    <row r="41" spans="1:14" x14ac:dyDescent="0.25">
      <c r="A41" s="59" t="s">
        <v>20</v>
      </c>
      <c r="B41" s="147">
        <v>0</v>
      </c>
      <c r="C41" s="84">
        <v>82.095663502698685</v>
      </c>
      <c r="D41" s="84">
        <v>100</v>
      </c>
      <c r="E41" s="84">
        <v>100</v>
      </c>
      <c r="F41" s="84">
        <v>100</v>
      </c>
      <c r="G41" s="84">
        <v>100</v>
      </c>
      <c r="H41" s="84">
        <v>100</v>
      </c>
      <c r="I41" s="120">
        <f t="shared" si="0"/>
        <v>0</v>
      </c>
      <c r="J41" s="3"/>
      <c r="K41" s="3"/>
      <c r="L41" s="3"/>
      <c r="M41" s="3"/>
      <c r="N41" s="3"/>
    </row>
    <row r="42" spans="1:14" x14ac:dyDescent="0.25">
      <c r="A42" s="59" t="s">
        <v>21</v>
      </c>
      <c r="B42" s="148">
        <v>0</v>
      </c>
      <c r="C42" s="84">
        <v>18.074360627552117</v>
      </c>
      <c r="D42" s="84">
        <v>43.214695752009185</v>
      </c>
      <c r="E42" s="84">
        <v>99.000000000000014</v>
      </c>
      <c r="F42" s="84">
        <v>100</v>
      </c>
      <c r="G42" s="84">
        <v>98.499999999999986</v>
      </c>
      <c r="H42" s="84">
        <v>98</v>
      </c>
      <c r="I42" s="120">
        <f t="shared" si="0"/>
        <v>-0.49999999999998579</v>
      </c>
      <c r="J42" s="3"/>
      <c r="K42" s="3"/>
      <c r="L42" s="3"/>
      <c r="M42" s="3"/>
      <c r="N42" s="3"/>
    </row>
    <row r="43" spans="1:14" x14ac:dyDescent="0.25">
      <c r="A43" s="59" t="s">
        <v>22</v>
      </c>
      <c r="B43" s="147">
        <v>0</v>
      </c>
      <c r="C43" s="84">
        <v>0</v>
      </c>
      <c r="D43" s="84">
        <v>12.070271088898986</v>
      </c>
      <c r="E43" s="84">
        <v>42.2</v>
      </c>
      <c r="F43" s="84">
        <v>58.500000000000007</v>
      </c>
      <c r="G43" s="84">
        <v>71.900000000000006</v>
      </c>
      <c r="H43" s="84">
        <v>72.110000000000014</v>
      </c>
      <c r="I43" s="120">
        <f t="shared" si="0"/>
        <v>0.21000000000000796</v>
      </c>
      <c r="J43" s="3"/>
      <c r="K43" s="3"/>
      <c r="L43" s="3"/>
      <c r="M43" s="3"/>
      <c r="N43" s="3"/>
    </row>
    <row r="44" spans="1:14" x14ac:dyDescent="0.25">
      <c r="A44" s="59" t="s">
        <v>23</v>
      </c>
      <c r="B44" s="148">
        <v>0</v>
      </c>
      <c r="C44" s="84">
        <v>11.958914159941306</v>
      </c>
      <c r="D44" s="84">
        <v>66.247787610619469</v>
      </c>
      <c r="E44" s="84">
        <v>66.199999999999989</v>
      </c>
      <c r="F44" s="84">
        <v>65.3</v>
      </c>
      <c r="G44" s="84">
        <v>65.7</v>
      </c>
      <c r="H44" s="84">
        <v>65.67</v>
      </c>
      <c r="I44" s="120">
        <f t="shared" si="0"/>
        <v>-3.0000000000001137E-2</v>
      </c>
      <c r="J44" s="3"/>
      <c r="K44" s="3"/>
      <c r="L44" s="3"/>
      <c r="M44" s="3"/>
      <c r="N44" s="3"/>
    </row>
    <row r="45" spans="1:14" x14ac:dyDescent="0.25">
      <c r="A45" s="59" t="s">
        <v>24</v>
      </c>
      <c r="B45" s="147">
        <v>0</v>
      </c>
      <c r="C45" s="84">
        <v>61.581364829396321</v>
      </c>
      <c r="D45" s="84">
        <v>100</v>
      </c>
      <c r="E45" s="84">
        <v>100</v>
      </c>
      <c r="F45" s="84">
        <v>100</v>
      </c>
      <c r="G45" s="84">
        <v>100</v>
      </c>
      <c r="H45" s="84">
        <v>100</v>
      </c>
      <c r="I45" s="120">
        <f t="shared" si="0"/>
        <v>0</v>
      </c>
      <c r="J45" s="3"/>
      <c r="K45" s="3"/>
      <c r="L45" s="3"/>
      <c r="M45" s="3"/>
      <c r="N45" s="3"/>
    </row>
    <row r="46" spans="1:14" x14ac:dyDescent="0.25">
      <c r="A46" s="59" t="s">
        <v>25</v>
      </c>
      <c r="B46" s="148">
        <v>0</v>
      </c>
      <c r="C46" s="84">
        <v>100</v>
      </c>
      <c r="D46" s="84">
        <v>100</v>
      </c>
      <c r="E46" s="84">
        <v>100</v>
      </c>
      <c r="F46" s="84">
        <v>100</v>
      </c>
      <c r="G46" s="84">
        <v>100</v>
      </c>
      <c r="H46" s="84">
        <v>100</v>
      </c>
      <c r="I46" s="120">
        <f t="shared" si="0"/>
        <v>0</v>
      </c>
      <c r="J46" s="3"/>
      <c r="K46" s="3"/>
      <c r="L46" s="3"/>
      <c r="M46" s="3"/>
      <c r="N46" s="3"/>
    </row>
    <row r="47" spans="1:14" x14ac:dyDescent="0.25">
      <c r="A47" s="59" t="s">
        <v>53</v>
      </c>
      <c r="B47" s="147">
        <v>0</v>
      </c>
      <c r="C47" s="84">
        <v>56.77220756376429</v>
      </c>
      <c r="D47" s="84">
        <v>79.82244629548444</v>
      </c>
      <c r="E47" s="84">
        <v>93</v>
      </c>
      <c r="F47" s="84">
        <v>93.40000000000002</v>
      </c>
      <c r="G47" s="84">
        <v>99.2</v>
      </c>
      <c r="H47" s="84">
        <v>99.11</v>
      </c>
      <c r="I47" s="120">
        <f t="shared" si="0"/>
        <v>-9.0000000000003411E-2</v>
      </c>
      <c r="J47" s="3"/>
      <c r="K47" s="3"/>
      <c r="L47" s="3"/>
      <c r="M47" s="3"/>
      <c r="N47" s="3"/>
    </row>
    <row r="48" spans="1:14" x14ac:dyDescent="0.25">
      <c r="A48" s="59" t="s">
        <v>26</v>
      </c>
      <c r="B48" s="148">
        <v>0</v>
      </c>
      <c r="C48" s="84">
        <v>19.195377701690564</v>
      </c>
      <c r="D48" s="84">
        <v>83.545918367346943</v>
      </c>
      <c r="E48" s="84">
        <v>100</v>
      </c>
      <c r="F48" s="84">
        <v>100</v>
      </c>
      <c r="G48" s="84">
        <v>100</v>
      </c>
      <c r="H48" s="84">
        <v>100</v>
      </c>
      <c r="I48" s="120">
        <f t="shared" si="0"/>
        <v>0</v>
      </c>
      <c r="J48" s="3"/>
      <c r="K48" s="3"/>
      <c r="L48" s="3"/>
      <c r="M48" s="3"/>
      <c r="N48" s="3"/>
    </row>
    <row r="49" spans="1:14" x14ac:dyDescent="0.25">
      <c r="A49" s="59" t="s">
        <v>27</v>
      </c>
      <c r="B49" s="147">
        <v>0</v>
      </c>
      <c r="C49" s="84">
        <v>86.867538374076176</v>
      </c>
      <c r="D49" s="84">
        <v>86.304604486422662</v>
      </c>
      <c r="E49" s="84">
        <v>86.200000000000017</v>
      </c>
      <c r="F49" s="84">
        <v>85.5</v>
      </c>
      <c r="G49" s="84">
        <v>84.2</v>
      </c>
      <c r="H49" s="84">
        <v>83.75</v>
      </c>
      <c r="I49" s="120">
        <f t="shared" si="0"/>
        <v>-0.45000000000000284</v>
      </c>
      <c r="J49" s="3"/>
      <c r="K49" s="3"/>
      <c r="L49" s="3"/>
      <c r="M49" s="3"/>
      <c r="N49" s="3"/>
    </row>
    <row r="50" spans="1:14" x14ac:dyDescent="0.25">
      <c r="A50" s="57" t="s">
        <v>50</v>
      </c>
      <c r="B50" s="149">
        <v>0</v>
      </c>
      <c r="C50" s="89">
        <v>28.27305660682844</v>
      </c>
      <c r="D50" s="89">
        <v>81.427105673440948</v>
      </c>
      <c r="E50" s="89">
        <v>89.212108584121239</v>
      </c>
      <c r="F50" s="89">
        <v>90.948150694348968</v>
      </c>
      <c r="G50" s="89">
        <v>92.863693864642627</v>
      </c>
      <c r="H50" s="89">
        <v>93.141258453337571</v>
      </c>
      <c r="I50" s="121">
        <f t="shared" si="0"/>
        <v>0.27756458869494338</v>
      </c>
      <c r="J50" s="3"/>
      <c r="K50" s="3"/>
      <c r="L50" s="3"/>
      <c r="M50" s="3"/>
      <c r="N50" s="3"/>
    </row>
    <row r="51" spans="1:14" x14ac:dyDescent="0.25">
      <c r="A51" s="59" t="s">
        <v>32</v>
      </c>
      <c r="B51" s="147">
        <v>0</v>
      </c>
      <c r="C51" s="84">
        <v>32.634087086525881</v>
      </c>
      <c r="D51" s="84">
        <v>91.159383682748157</v>
      </c>
      <c r="E51" s="84">
        <v>97.3</v>
      </c>
      <c r="F51" s="84">
        <v>97</v>
      </c>
      <c r="G51" s="84">
        <v>97</v>
      </c>
      <c r="H51" s="84">
        <v>97.11</v>
      </c>
      <c r="I51" s="120">
        <f t="shared" si="0"/>
        <v>0.10999999999999943</v>
      </c>
      <c r="J51" s="3"/>
      <c r="K51" s="3"/>
      <c r="L51" s="3"/>
      <c r="M51" s="3"/>
      <c r="N51" s="3"/>
    </row>
    <row r="52" spans="1:14" x14ac:dyDescent="0.25">
      <c r="A52" s="59" t="s">
        <v>28</v>
      </c>
      <c r="B52" s="148">
        <v>0</v>
      </c>
      <c r="C52" s="84">
        <v>0</v>
      </c>
      <c r="D52" s="84">
        <v>14.262871762072274</v>
      </c>
      <c r="E52" s="84">
        <v>32</v>
      </c>
      <c r="F52" s="84">
        <v>48.7</v>
      </c>
      <c r="G52" s="84">
        <v>64.2</v>
      </c>
      <c r="H52" s="84">
        <v>64.48</v>
      </c>
      <c r="I52" s="120">
        <f t="shared" si="0"/>
        <v>0.28000000000000114</v>
      </c>
      <c r="J52" s="3"/>
      <c r="K52" s="3"/>
      <c r="L52" s="3"/>
      <c r="M52" s="3"/>
      <c r="N52" s="3"/>
    </row>
    <row r="53" spans="1:14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4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4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4" hidden="1" x14ac:dyDescent="0.25">
      <c r="A56" s="57" t="s">
        <v>37</v>
      </c>
      <c r="B56" s="84">
        <v>0</v>
      </c>
      <c r="C56" s="84">
        <v>43.151741227954545</v>
      </c>
      <c r="D56" s="84">
        <v>68.939989832183528</v>
      </c>
      <c r="E56" s="84">
        <v>80.631189663419008</v>
      </c>
      <c r="F56" s="84">
        <v>82.694934739754672</v>
      </c>
      <c r="G56" s="84">
        <v>85.322276278317986</v>
      </c>
      <c r="H56" s="84">
        <v>88.427034356637279</v>
      </c>
      <c r="I56" s="84">
        <f t="shared" si="0"/>
        <v>3.1047580783192927</v>
      </c>
    </row>
    <row r="57" spans="1:14" ht="9" customHeight="1" x14ac:dyDescent="0.25">
      <c r="A57" s="4"/>
      <c r="B57" s="4"/>
      <c r="C57" s="4"/>
      <c r="D57" s="4"/>
      <c r="E57" s="4"/>
      <c r="F57" s="4"/>
      <c r="G57" s="4"/>
      <c r="H57" s="4"/>
    </row>
    <row r="58" spans="1:14" ht="24" customHeight="1" x14ac:dyDescent="0.25">
      <c r="A58" s="99" t="s">
        <v>215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216</v>
      </c>
      <c r="B5" s="90"/>
      <c r="C5" s="90"/>
      <c r="D5" s="90"/>
    </row>
    <row r="6" spans="1:11" s="4" customFormat="1" ht="25.5" customHeight="1" x14ac:dyDescent="0.25">
      <c r="A6" s="156" t="s">
        <v>218</v>
      </c>
      <c r="B6"/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51" customFormat="1" ht="27" x14ac:dyDescent="0.25">
      <c r="A8" s="171" t="s">
        <v>45</v>
      </c>
      <c r="B8" s="174" t="s">
        <v>220</v>
      </c>
      <c r="C8" s="174" t="s">
        <v>219</v>
      </c>
      <c r="D8" s="174" t="s">
        <v>217</v>
      </c>
      <c r="E8" s="152"/>
      <c r="F8" s="152"/>
      <c r="G8" s="152"/>
      <c r="H8" s="152"/>
      <c r="I8" s="152"/>
      <c r="J8" s="152"/>
      <c r="K8" s="152"/>
    </row>
    <row r="9" spans="1:11" ht="15.75" hidden="1" x14ac:dyDescent="0.3">
      <c r="A9" s="139" t="s">
        <v>39</v>
      </c>
      <c r="B9" s="157"/>
      <c r="C9" s="157"/>
      <c r="D9" s="150"/>
      <c r="E9"/>
      <c r="F9"/>
      <c r="G9"/>
      <c r="H9"/>
      <c r="I9"/>
      <c r="J9"/>
      <c r="K9"/>
    </row>
    <row r="10" spans="1:11" ht="15.75" x14ac:dyDescent="0.3">
      <c r="A10" s="160">
        <v>2012</v>
      </c>
      <c r="B10" s="157">
        <v>1450045</v>
      </c>
      <c r="C10" s="157">
        <v>256402</v>
      </c>
      <c r="D10" s="154">
        <v>17.682347789206542</v>
      </c>
      <c r="E10"/>
      <c r="F10"/>
      <c r="G10"/>
      <c r="H10"/>
      <c r="I10"/>
      <c r="J10"/>
      <c r="K10"/>
    </row>
    <row r="11" spans="1:11" ht="15.75" x14ac:dyDescent="0.3">
      <c r="A11" s="161">
        <v>2013</v>
      </c>
      <c r="B11" s="157">
        <v>1477702</v>
      </c>
      <c r="C11" s="157">
        <v>267870.54704999999</v>
      </c>
      <c r="D11" s="154">
        <v>18.127507917699237</v>
      </c>
      <c r="E11"/>
      <c r="F11"/>
      <c r="G11"/>
      <c r="H11"/>
      <c r="I11"/>
      <c r="J11"/>
      <c r="K11"/>
    </row>
    <row r="12" spans="1:11" ht="15.75" x14ac:dyDescent="0.3">
      <c r="A12" s="161">
        <v>2014</v>
      </c>
      <c r="B12" s="157">
        <v>1422011.4</v>
      </c>
      <c r="C12" s="157">
        <v>282670</v>
      </c>
      <c r="D12" s="154">
        <v>19.878181004737375</v>
      </c>
      <c r="E12"/>
      <c r="F12"/>
      <c r="G12"/>
      <c r="H12"/>
      <c r="I12"/>
      <c r="J12"/>
      <c r="K12"/>
    </row>
    <row r="13" spans="1:11" ht="15.75" x14ac:dyDescent="0.3">
      <c r="A13" s="161">
        <v>2015</v>
      </c>
      <c r="B13" s="157">
        <v>1430230.9999999998</v>
      </c>
      <c r="C13" s="157">
        <v>299517.17913</v>
      </c>
      <c r="D13" s="154">
        <v>20.941874363651749</v>
      </c>
      <c r="E13"/>
      <c r="F13"/>
      <c r="G13"/>
      <c r="H13"/>
      <c r="I13"/>
      <c r="J13"/>
      <c r="K13"/>
    </row>
    <row r="14" spans="1:11" ht="15.75" x14ac:dyDescent="0.3">
      <c r="A14" s="161">
        <v>2016</v>
      </c>
      <c r="B14" s="157">
        <v>1521741.574</v>
      </c>
      <c r="C14" s="157">
        <v>327125.75745099987</v>
      </c>
      <c r="D14" s="154">
        <v>21.49680097068833</v>
      </c>
      <c r="E14"/>
      <c r="F14"/>
      <c r="G14"/>
      <c r="H14"/>
      <c r="I14"/>
      <c r="J14"/>
      <c r="K14"/>
    </row>
    <row r="15" spans="1:11" ht="15.75" x14ac:dyDescent="0.3">
      <c r="A15" s="161">
        <v>2017</v>
      </c>
      <c r="B15" s="157">
        <v>1581332.3219999999</v>
      </c>
      <c r="C15" s="157">
        <v>364874.22713000007</v>
      </c>
      <c r="D15" s="154">
        <v>23.073848681504412</v>
      </c>
      <c r="E15"/>
      <c r="F15"/>
      <c r="G15"/>
      <c r="H15"/>
      <c r="I15"/>
      <c r="J15"/>
      <c r="K15"/>
    </row>
    <row r="16" spans="1:11" ht="15.75" x14ac:dyDescent="0.3">
      <c r="A16" s="161">
        <v>2018</v>
      </c>
      <c r="B16" s="157">
        <v>1578480</v>
      </c>
      <c r="C16" s="157">
        <v>367837.29021000001</v>
      </c>
      <c r="D16" s="154">
        <v>23.30325947810552</v>
      </c>
      <c r="E16"/>
      <c r="F16"/>
      <c r="G16"/>
      <c r="H16"/>
      <c r="I16"/>
      <c r="J16"/>
      <c r="K16"/>
    </row>
    <row r="17" spans="1:11" ht="12" customHeight="1" x14ac:dyDescent="0.25">
      <c r="A17" s="153"/>
      <c r="B17" s="153"/>
      <c r="C17" s="153"/>
      <c r="D17" s="155"/>
      <c r="E17"/>
      <c r="F17"/>
      <c r="G17"/>
      <c r="H17"/>
      <c r="I17"/>
      <c r="J17"/>
      <c r="K17"/>
    </row>
    <row r="18" spans="1:11" ht="20.25" customHeight="1" x14ac:dyDescent="0.3">
      <c r="A18" s="159" t="s">
        <v>47</v>
      </c>
      <c r="B18" s="158">
        <f>B16-B15</f>
        <v>-2852.3219999999274</v>
      </c>
      <c r="C18" s="158">
        <f t="shared" ref="C18:D18" si="0">C16-C15</f>
        <v>2963.0630799999344</v>
      </c>
      <c r="D18" s="158">
        <f t="shared" si="0"/>
        <v>0.2294107966011083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5" x14ac:dyDescent="0.25">
      <c r="A20" t="str">
        <f>A8</f>
        <v>Año</v>
      </c>
      <c r="B20" s="4" t="str">
        <f t="shared" ref="B20:D20" si="1">B8</f>
        <v>Gasto total ejercido</v>
      </c>
      <c r="C20" s="4" t="str">
        <f t="shared" si="1"/>
        <v>Gasto Ejercido en docentes</v>
      </c>
      <c r="D20" s="4" t="str">
        <f t="shared" si="1"/>
        <v>Costo docente (%)</v>
      </c>
      <c r="E20"/>
      <c r="F20"/>
      <c r="G20"/>
      <c r="H20"/>
      <c r="I20"/>
      <c r="J20"/>
      <c r="K20"/>
    </row>
    <row r="21" spans="1:11" ht="15" x14ac:dyDescent="0.25">
      <c r="A21" s="4">
        <f t="shared" ref="A21:D21" si="2">A10</f>
        <v>2012</v>
      </c>
      <c r="B21" s="4">
        <f t="shared" si="2"/>
        <v>1450045</v>
      </c>
      <c r="C21" s="4">
        <f t="shared" si="2"/>
        <v>256402</v>
      </c>
      <c r="D21" s="4">
        <f t="shared" si="2"/>
        <v>17.682347789206542</v>
      </c>
      <c r="E21"/>
      <c r="F21"/>
      <c r="G21"/>
      <c r="H21"/>
      <c r="I21"/>
      <c r="J21"/>
      <c r="K21"/>
    </row>
    <row r="22" spans="1:11" ht="15" x14ac:dyDescent="0.25">
      <c r="A22" s="4">
        <f t="shared" ref="A22:D22" si="3">A11</f>
        <v>2013</v>
      </c>
      <c r="B22" s="4">
        <f t="shared" si="3"/>
        <v>1477702</v>
      </c>
      <c r="C22" s="4">
        <f t="shared" si="3"/>
        <v>267870.54704999999</v>
      </c>
      <c r="D22" s="4">
        <f t="shared" si="3"/>
        <v>18.127507917699237</v>
      </c>
      <c r="E22"/>
      <c r="F22"/>
      <c r="G22"/>
      <c r="H22"/>
      <c r="I22"/>
      <c r="J22"/>
      <c r="K22"/>
    </row>
    <row r="23" spans="1:11" ht="15" x14ac:dyDescent="0.25">
      <c r="A23" s="4">
        <f t="shared" ref="A23:D23" si="4">A12</f>
        <v>2014</v>
      </c>
      <c r="B23" s="4">
        <f t="shared" si="4"/>
        <v>1422011.4</v>
      </c>
      <c r="C23" s="4">
        <f t="shared" si="4"/>
        <v>282670</v>
      </c>
      <c r="D23" s="4">
        <f t="shared" si="4"/>
        <v>19.878181004737375</v>
      </c>
      <c r="E23"/>
      <c r="F23"/>
      <c r="G23"/>
      <c r="H23"/>
      <c r="I23"/>
      <c r="J23"/>
      <c r="K23"/>
    </row>
    <row r="24" spans="1:11" ht="15" x14ac:dyDescent="0.25">
      <c r="A24" s="4">
        <f t="shared" ref="A24:D25" si="5">A13</f>
        <v>2015</v>
      </c>
      <c r="B24" s="4">
        <f t="shared" si="5"/>
        <v>1430230.9999999998</v>
      </c>
      <c r="C24" s="4">
        <f t="shared" si="5"/>
        <v>299517.17913</v>
      </c>
      <c r="D24" s="4">
        <f t="shared" si="5"/>
        <v>20.941874363651749</v>
      </c>
      <c r="E24"/>
      <c r="F24"/>
      <c r="G24"/>
      <c r="H24"/>
      <c r="I24"/>
      <c r="J24"/>
      <c r="K24"/>
    </row>
    <row r="25" spans="1:11" ht="15" x14ac:dyDescent="0.25">
      <c r="A25" s="4">
        <f>A14</f>
        <v>2016</v>
      </c>
      <c r="B25" s="4">
        <f t="shared" si="5"/>
        <v>1521741.574</v>
      </c>
      <c r="C25" s="4">
        <f t="shared" si="5"/>
        <v>327125.75745099987</v>
      </c>
      <c r="D25" s="4">
        <f t="shared" si="5"/>
        <v>21.49680097068833</v>
      </c>
      <c r="E25"/>
      <c r="F25"/>
      <c r="G25"/>
      <c r="H25"/>
      <c r="I25"/>
      <c r="J25"/>
      <c r="K25"/>
    </row>
    <row r="26" spans="1:11" ht="15" x14ac:dyDescent="0.25">
      <c r="A26" s="4">
        <f>A15</f>
        <v>2017</v>
      </c>
      <c r="B26" s="4">
        <f t="shared" ref="B26:D26" si="6">B15</f>
        <v>1581332.3219999999</v>
      </c>
      <c r="C26" s="4">
        <f t="shared" si="6"/>
        <v>364874.22713000007</v>
      </c>
      <c r="D26" s="4">
        <f t="shared" si="6"/>
        <v>23.073848681504412</v>
      </c>
      <c r="E26"/>
      <c r="F26"/>
      <c r="G26"/>
      <c r="H26"/>
      <c r="I26"/>
      <c r="J26"/>
      <c r="K26"/>
    </row>
    <row r="27" spans="1:11" ht="15" x14ac:dyDescent="0.25">
      <c r="A27" s="4">
        <f t="shared" ref="A27:D27" si="7">A16</f>
        <v>2018</v>
      </c>
      <c r="B27" s="4">
        <f t="shared" si="7"/>
        <v>1578480</v>
      </c>
      <c r="C27" s="4">
        <f t="shared" si="7"/>
        <v>367837.29021000001</v>
      </c>
      <c r="D27" s="4">
        <f t="shared" si="7"/>
        <v>23.30325947810552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228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65" customFormat="1" ht="40.5" x14ac:dyDescent="0.25">
      <c r="A8" s="167" t="s">
        <v>45</v>
      </c>
      <c r="B8" s="151" t="s">
        <v>225</v>
      </c>
      <c r="C8" s="151" t="s">
        <v>227</v>
      </c>
      <c r="D8" s="151" t="s">
        <v>226</v>
      </c>
      <c r="E8" s="166"/>
      <c r="F8" s="164"/>
      <c r="G8" s="164"/>
      <c r="H8" s="164"/>
      <c r="I8" s="164"/>
      <c r="J8" s="164"/>
      <c r="K8" s="164"/>
    </row>
    <row r="9" spans="1:11" ht="15.75" hidden="1" x14ac:dyDescent="0.3">
      <c r="A9" s="139" t="s">
        <v>39</v>
      </c>
      <c r="B9" s="157"/>
      <c r="C9" s="157"/>
      <c r="D9" s="163"/>
      <c r="E9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1457806</v>
      </c>
      <c r="C10" s="157">
        <v>1450045</v>
      </c>
      <c r="D10" s="163">
        <v>99.467624635925489</v>
      </c>
      <c r="E10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1497810.8</v>
      </c>
      <c r="C11" s="157">
        <v>1477702</v>
      </c>
      <c r="D11" s="163">
        <v>98.657453932098761</v>
      </c>
      <c r="E11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1425249.5</v>
      </c>
      <c r="C12" s="157">
        <v>1422011.4</v>
      </c>
      <c r="D12" s="163">
        <v>99.772804691389112</v>
      </c>
      <c r="E12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1425327.2999999998</v>
      </c>
      <c r="C13" s="157">
        <v>1430230.9999999998</v>
      </c>
      <c r="D13" s="163">
        <v>100.34404027762605</v>
      </c>
      <c r="E13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1524483.65</v>
      </c>
      <c r="C14" s="157">
        <v>1521741.574</v>
      </c>
      <c r="D14" s="163">
        <v>99.820130835775117</v>
      </c>
      <c r="E1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1587194</v>
      </c>
      <c r="C15" s="157">
        <v>1581332.3219999999</v>
      </c>
      <c r="D15" s="163">
        <v>99.630689254117641</v>
      </c>
      <c r="E15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1583166</v>
      </c>
      <c r="C16" s="157">
        <v>1578480</v>
      </c>
      <c r="D16" s="163">
        <v>99.704010823880751</v>
      </c>
      <c r="E16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-4028</v>
      </c>
      <c r="C18" s="158">
        <f t="shared" ref="C18" si="0">C16-C15</f>
        <v>-2852.3219999999274</v>
      </c>
      <c r="D18" s="158">
        <f>D16-D15</f>
        <v>7.3321569763109551E-2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Presupuesto Reprogramado total</v>
      </c>
      <c r="C20" s="4" t="str">
        <f t="shared" si="1"/>
        <v>Presupuesto
Ejercido Total</v>
      </c>
      <c r="D20" s="168" t="str">
        <f t="shared" si="1"/>
        <v>Evolución del Presupuesto Reprogramado Total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1457806</v>
      </c>
      <c r="C21" s="4">
        <f t="shared" si="2"/>
        <v>1450045</v>
      </c>
      <c r="D21" s="4">
        <f t="shared" si="2"/>
        <v>99.467624635925489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1497810.8</v>
      </c>
      <c r="C22" s="4">
        <f t="shared" si="2"/>
        <v>1477702</v>
      </c>
      <c r="D22" s="4">
        <f t="shared" si="2"/>
        <v>98.657453932098761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1425249.5</v>
      </c>
      <c r="C23" s="4">
        <f t="shared" si="2"/>
        <v>1422011.4</v>
      </c>
      <c r="D23" s="4">
        <f t="shared" si="2"/>
        <v>99.772804691389112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1425327.2999999998</v>
      </c>
      <c r="C24" s="4">
        <f t="shared" si="2"/>
        <v>1430230.9999999998</v>
      </c>
      <c r="D24" s="4">
        <f t="shared" si="2"/>
        <v>100.34404027762605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1524483.65</v>
      </c>
      <c r="C25" s="4">
        <f t="shared" si="2"/>
        <v>1521741.574</v>
      </c>
      <c r="D25" s="4">
        <f t="shared" si="2"/>
        <v>99.820130835775117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1587194</v>
      </c>
      <c r="C26" s="4">
        <f t="shared" si="2"/>
        <v>1581332.3219999999</v>
      </c>
      <c r="D26" s="4">
        <f t="shared" si="2"/>
        <v>99.630689254117641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1583166</v>
      </c>
      <c r="C27" s="4">
        <f t="shared" si="3"/>
        <v>1578480</v>
      </c>
      <c r="D27" s="4">
        <f t="shared" si="3"/>
        <v>99.704010823880751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7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229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65" customFormat="1" ht="54" x14ac:dyDescent="0.25">
      <c r="A8" s="167" t="s">
        <v>45</v>
      </c>
      <c r="B8" s="151" t="s">
        <v>232</v>
      </c>
      <c r="C8" s="151" t="s">
        <v>230</v>
      </c>
      <c r="D8" s="151" t="s">
        <v>231</v>
      </c>
      <c r="E8" s="166"/>
      <c r="F8" s="164"/>
      <c r="G8" s="164"/>
      <c r="H8" s="164"/>
      <c r="I8" s="164"/>
      <c r="J8" s="164"/>
      <c r="K8" s="164"/>
    </row>
    <row r="9" spans="1:11" ht="15.75" hidden="1" x14ac:dyDescent="0.3">
      <c r="A9" s="139" t="s">
        <v>39</v>
      </c>
      <c r="B9" s="157"/>
      <c r="C9" s="157"/>
      <c r="D9" s="170"/>
      <c r="E9" s="4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1336007</v>
      </c>
      <c r="C10" s="157">
        <v>1336007</v>
      </c>
      <c r="D10" s="170">
        <v>100</v>
      </c>
      <c r="E10" s="4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1379713.2</v>
      </c>
      <c r="C11" s="157">
        <v>1379713.2</v>
      </c>
      <c r="D11" s="170">
        <v>100</v>
      </c>
      <c r="E11" s="4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1296985</v>
      </c>
      <c r="C12" s="157">
        <v>1296985</v>
      </c>
      <c r="D12" s="170">
        <v>100</v>
      </c>
      <c r="E12" s="4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1358327.2999999998</v>
      </c>
      <c r="C13" s="157">
        <v>1358327.2999999998</v>
      </c>
      <c r="D13" s="170">
        <v>100</v>
      </c>
      <c r="E13" s="4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1471983.65</v>
      </c>
      <c r="C14" s="157">
        <v>1470588.7209999999</v>
      </c>
      <c r="D14" s="170">
        <v>99.905234749040858</v>
      </c>
      <c r="E14" s="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1532193.57</v>
      </c>
      <c r="C15" s="157">
        <v>1532193.57</v>
      </c>
      <c r="D15" s="170">
        <v>100</v>
      </c>
      <c r="E15" s="4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1528166.3060000001</v>
      </c>
      <c r="C16" s="157">
        <v>1528166.3060000001</v>
      </c>
      <c r="D16" s="170">
        <v>100</v>
      </c>
      <c r="E16" s="4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-4027.2639999999665</v>
      </c>
      <c r="C18" s="158">
        <f t="shared" ref="C18" si="0">C16-C15</f>
        <v>-4027.2639999999665</v>
      </c>
      <c r="D18" s="158">
        <f>D16-D15</f>
        <v>0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Presupuesto Reprogramado
(Recursos Fiscales)</v>
      </c>
      <c r="C20" s="4" t="str">
        <f t="shared" si="1"/>
        <v>Presupuesto Ejercido (Recursos Fiscales)</v>
      </c>
      <c r="D20" s="168" t="str">
        <f t="shared" si="1"/>
        <v>Evolución del Presupuesto Reprogramado
(Recursos fiscales)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1336007</v>
      </c>
      <c r="C21" s="4">
        <f t="shared" si="2"/>
        <v>1336007</v>
      </c>
      <c r="D21" s="4">
        <f t="shared" si="2"/>
        <v>100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1379713.2</v>
      </c>
      <c r="C22" s="4">
        <f t="shared" si="2"/>
        <v>1379713.2</v>
      </c>
      <c r="D22" s="4">
        <f t="shared" si="2"/>
        <v>100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1296985</v>
      </c>
      <c r="C23" s="4">
        <f t="shared" si="2"/>
        <v>1296985</v>
      </c>
      <c r="D23" s="4">
        <f t="shared" si="2"/>
        <v>100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1358327.2999999998</v>
      </c>
      <c r="C24" s="4">
        <f t="shared" si="2"/>
        <v>1358327.2999999998</v>
      </c>
      <c r="D24" s="4">
        <f t="shared" si="2"/>
        <v>100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1471983.65</v>
      </c>
      <c r="C25" s="4">
        <f t="shared" si="2"/>
        <v>1470588.7209999999</v>
      </c>
      <c r="D25" s="4">
        <f t="shared" si="2"/>
        <v>99.905234749040858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1532193.57</v>
      </c>
      <c r="C26" s="4">
        <f t="shared" si="2"/>
        <v>1532193.57</v>
      </c>
      <c r="D26" s="4">
        <f t="shared" si="2"/>
        <v>100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1528166.3060000001</v>
      </c>
      <c r="C27" s="4">
        <f t="shared" si="3"/>
        <v>1528166.3060000001</v>
      </c>
      <c r="D27" s="4">
        <f t="shared" si="3"/>
        <v>100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233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65" customFormat="1" ht="45" x14ac:dyDescent="0.25">
      <c r="A8" s="167" t="s">
        <v>45</v>
      </c>
      <c r="B8" s="169" t="s">
        <v>236</v>
      </c>
      <c r="C8" s="169" t="s">
        <v>234</v>
      </c>
      <c r="D8" s="169" t="s">
        <v>235</v>
      </c>
      <c r="E8" s="166"/>
      <c r="F8" s="164"/>
      <c r="G8" s="164"/>
      <c r="H8" s="164"/>
      <c r="I8" s="164"/>
      <c r="J8" s="164"/>
      <c r="K8" s="164"/>
    </row>
    <row r="9" spans="1:11" ht="15.75" hidden="1" x14ac:dyDescent="0.3">
      <c r="A9" s="139" t="s">
        <v>39</v>
      </c>
      <c r="B9" s="157"/>
      <c r="C9" s="157"/>
      <c r="D9" s="163"/>
      <c r="E9" s="4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1339687.2</v>
      </c>
      <c r="C10" s="157">
        <v>1334976.8</v>
      </c>
      <c r="D10" s="163">
        <v>99.648395535913167</v>
      </c>
      <c r="E10" s="4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1433622.3</v>
      </c>
      <c r="C11" s="157">
        <v>1414326.6</v>
      </c>
      <c r="D11" s="163">
        <v>98.654059719913676</v>
      </c>
      <c r="E11" s="4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1412252.6</v>
      </c>
      <c r="C12" s="157">
        <v>1409321.5</v>
      </c>
      <c r="D12" s="163">
        <v>99.792452143476311</v>
      </c>
      <c r="E12" s="4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1404668.4</v>
      </c>
      <c r="C13" s="157">
        <v>1409572.0999999999</v>
      </c>
      <c r="D13" s="163">
        <v>100.34910018620764</v>
      </c>
      <c r="E13" s="4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1476955.71</v>
      </c>
      <c r="C14" s="157">
        <v>1474213.6429999999</v>
      </c>
      <c r="D14" s="163">
        <v>99.814343315684113</v>
      </c>
      <c r="E14" s="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1528064.0179999999</v>
      </c>
      <c r="C15" s="157">
        <v>1522202.77</v>
      </c>
      <c r="D15" s="163">
        <v>99.616426541626751</v>
      </c>
      <c r="E15" s="4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1579519.281</v>
      </c>
      <c r="C16" s="157">
        <v>1574833.44</v>
      </c>
      <c r="D16" s="163">
        <v>99.70333752450091</v>
      </c>
      <c r="E16" s="4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51455.263000000035</v>
      </c>
      <c r="C18" s="158">
        <f t="shared" ref="C18" si="0">C16-C15</f>
        <v>52630.669999999925</v>
      </c>
      <c r="D18" s="158">
        <f>D16-D15</f>
        <v>8.6910982874158549E-2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Presupuesto Reprogramado
(Gasto Corriente)</v>
      </c>
      <c r="C20" s="4" t="str">
        <f t="shared" si="1"/>
        <v>Presupuesto Ejercido (Gasto Corriente)</v>
      </c>
      <c r="D20" s="168" t="str">
        <f t="shared" si="1"/>
        <v xml:space="preserve">Evolución del Gasto Corriente 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1339687.2</v>
      </c>
      <c r="C21" s="4">
        <f t="shared" si="2"/>
        <v>1334976.8</v>
      </c>
      <c r="D21" s="4">
        <f t="shared" si="2"/>
        <v>99.648395535913167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1433622.3</v>
      </c>
      <c r="C22" s="4">
        <f t="shared" si="2"/>
        <v>1414326.6</v>
      </c>
      <c r="D22" s="4">
        <f t="shared" si="2"/>
        <v>98.654059719913676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1412252.6</v>
      </c>
      <c r="C23" s="4">
        <f t="shared" si="2"/>
        <v>1409321.5</v>
      </c>
      <c r="D23" s="4">
        <f t="shared" si="2"/>
        <v>99.792452143476311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1404668.4</v>
      </c>
      <c r="C24" s="4">
        <f t="shared" si="2"/>
        <v>1409572.0999999999</v>
      </c>
      <c r="D24" s="4">
        <f t="shared" si="2"/>
        <v>100.34910018620764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1476955.71</v>
      </c>
      <c r="C25" s="4">
        <f t="shared" si="2"/>
        <v>1474213.6429999999</v>
      </c>
      <c r="D25" s="4">
        <f t="shared" si="2"/>
        <v>99.814343315684113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1528064.0179999999</v>
      </c>
      <c r="C26" s="4">
        <f t="shared" si="2"/>
        <v>1522202.77</v>
      </c>
      <c r="D26" s="4">
        <f t="shared" si="2"/>
        <v>99.616426541626751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1579519.281</v>
      </c>
      <c r="C27" s="4">
        <f t="shared" si="3"/>
        <v>1574833.44</v>
      </c>
      <c r="D27" s="4">
        <f t="shared" si="3"/>
        <v>99.70333752450091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238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51" customFormat="1" ht="45" x14ac:dyDescent="0.3">
      <c r="A8" s="171" t="s">
        <v>45</v>
      </c>
      <c r="B8" s="172" t="s">
        <v>241</v>
      </c>
      <c r="C8" s="172" t="s">
        <v>239</v>
      </c>
      <c r="D8" s="172" t="s">
        <v>240</v>
      </c>
      <c r="E8" s="173"/>
      <c r="F8" s="152"/>
      <c r="G8" s="152"/>
      <c r="H8" s="152"/>
      <c r="I8" s="152"/>
      <c r="J8" s="152"/>
      <c r="K8" s="152"/>
    </row>
    <row r="9" spans="1:11" ht="15.75" hidden="1" x14ac:dyDescent="0.3">
      <c r="A9" s="139" t="s">
        <v>39</v>
      </c>
      <c r="B9" s="157"/>
      <c r="C9" s="157"/>
      <c r="D9" s="163"/>
      <c r="E9" s="4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118119</v>
      </c>
      <c r="C10" s="157">
        <v>115068.5</v>
      </c>
      <c r="D10" s="163">
        <v>97.417434959659317</v>
      </c>
      <c r="E10" s="4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64188.5</v>
      </c>
      <c r="C11" s="157">
        <v>63375.4</v>
      </c>
      <c r="D11" s="163">
        <v>98.733262188709816</v>
      </c>
      <c r="E11" s="4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12997</v>
      </c>
      <c r="C12" s="157">
        <v>12690</v>
      </c>
      <c r="D12" s="163">
        <v>97.6379164422559</v>
      </c>
      <c r="E12" s="4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20658.900000000001</v>
      </c>
      <c r="C13" s="157">
        <v>20658.900000000001</v>
      </c>
      <c r="D13" s="163">
        <v>100</v>
      </c>
      <c r="E13" s="4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47527.94</v>
      </c>
      <c r="C14" s="157">
        <v>47527.930999999997</v>
      </c>
      <c r="D14" s="163">
        <v>99.999981063770065</v>
      </c>
      <c r="E14" s="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59130</v>
      </c>
      <c r="C15" s="157">
        <v>59130</v>
      </c>
      <c r="D15" s="163">
        <v>100</v>
      </c>
      <c r="E15" s="4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3647.0250000000001</v>
      </c>
      <c r="C16" s="157">
        <v>3647.0250000000001</v>
      </c>
      <c r="D16" s="163">
        <v>100</v>
      </c>
      <c r="E16" s="4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-55482.974999999999</v>
      </c>
      <c r="C18" s="158">
        <f t="shared" ref="C18" si="0">C16-C15</f>
        <v>-55482.974999999999</v>
      </c>
      <c r="D18" s="158">
        <f>D16-D15</f>
        <v>0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Presupuesto Reprogramado
(Gasto de Inversión)</v>
      </c>
      <c r="C20" s="4" t="str">
        <f t="shared" si="1"/>
        <v>Presupuesto Ejercido (Gasto de Inversión)</v>
      </c>
      <c r="D20" s="168" t="str">
        <f t="shared" si="1"/>
        <v>Evolución del Gasto de Inversión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118119</v>
      </c>
      <c r="C21" s="4">
        <f t="shared" si="2"/>
        <v>115068.5</v>
      </c>
      <c r="D21" s="4">
        <f t="shared" si="2"/>
        <v>97.417434959659317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64188.5</v>
      </c>
      <c r="C22" s="4">
        <f t="shared" si="2"/>
        <v>63375.4</v>
      </c>
      <c r="D22" s="4">
        <f t="shared" si="2"/>
        <v>98.733262188709816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12997</v>
      </c>
      <c r="C23" s="4">
        <f t="shared" si="2"/>
        <v>12690</v>
      </c>
      <c r="D23" s="4">
        <f t="shared" si="2"/>
        <v>97.6379164422559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20658.900000000001</v>
      </c>
      <c r="C24" s="4">
        <f t="shared" si="2"/>
        <v>20658.900000000001</v>
      </c>
      <c r="D24" s="4">
        <f t="shared" si="2"/>
        <v>100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47527.94</v>
      </c>
      <c r="C25" s="4">
        <f t="shared" si="2"/>
        <v>47527.930999999997</v>
      </c>
      <c r="D25" s="4">
        <f t="shared" si="2"/>
        <v>99.999981063770065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59130</v>
      </c>
      <c r="C26" s="4">
        <f t="shared" si="2"/>
        <v>59130</v>
      </c>
      <c r="D26" s="4">
        <f t="shared" si="2"/>
        <v>100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3647.0250000000001</v>
      </c>
      <c r="C27" s="4">
        <f t="shared" si="3"/>
        <v>3647.0250000000001</v>
      </c>
      <c r="D27" s="4">
        <f t="shared" si="3"/>
        <v>100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7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243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51" customFormat="1" ht="30" x14ac:dyDescent="0.3">
      <c r="A8" s="171" t="s">
        <v>45</v>
      </c>
      <c r="B8" s="172" t="s">
        <v>244</v>
      </c>
      <c r="C8" s="172" t="s">
        <v>245</v>
      </c>
      <c r="D8" s="172" t="s">
        <v>246</v>
      </c>
      <c r="E8" s="173"/>
      <c r="F8" s="152"/>
      <c r="G8" s="152"/>
      <c r="H8" s="152"/>
      <c r="I8" s="152"/>
      <c r="J8" s="152"/>
      <c r="K8" s="152"/>
    </row>
    <row r="9" spans="1:11" ht="15.75" hidden="1" x14ac:dyDescent="0.3">
      <c r="A9" s="139" t="s">
        <v>39</v>
      </c>
      <c r="B9" s="157"/>
      <c r="C9" s="157"/>
      <c r="D9" s="163"/>
      <c r="E9" s="4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1450045.3</v>
      </c>
      <c r="C10" s="157">
        <v>114038</v>
      </c>
      <c r="D10" s="163">
        <v>7.8644439590956221</v>
      </c>
      <c r="E10" s="4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1477702</v>
      </c>
      <c r="C11" s="157">
        <v>97988.800000000003</v>
      </c>
      <c r="D11" s="163">
        <v>6.6311610866060953</v>
      </c>
      <c r="E11" s="4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1422011.4</v>
      </c>
      <c r="C12" s="157">
        <v>111761.9</v>
      </c>
      <c r="D12" s="163">
        <v>7.8594236304997276</v>
      </c>
      <c r="E12" s="4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1430230.9999999998</v>
      </c>
      <c r="C13" s="157">
        <v>71903.7</v>
      </c>
      <c r="D13" s="163">
        <v>5.0274186477569014</v>
      </c>
      <c r="E13" s="4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1521741.574</v>
      </c>
      <c r="C14" s="157">
        <v>51152.853000000003</v>
      </c>
      <c r="D14" s="163">
        <v>3.3614677993939073</v>
      </c>
      <c r="E14" s="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1581332.3219999999</v>
      </c>
      <c r="C15" s="157">
        <v>49138.752</v>
      </c>
      <c r="D15" s="163">
        <v>3.1074272824482243</v>
      </c>
      <c r="E15" s="4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1578480.4650000001</v>
      </c>
      <c r="C16" s="157">
        <v>50314.159</v>
      </c>
      <c r="D16" s="163">
        <v>3.1875059663788745</v>
      </c>
      <c r="E16" s="4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-2851.8569999998435</v>
      </c>
      <c r="C18" s="158">
        <f t="shared" ref="C18" si="0">C16-C15</f>
        <v>1175.4069999999992</v>
      </c>
      <c r="D18" s="158">
        <f>D16-D15</f>
        <v>8.0078683930650207E-2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Presupuesto Ejercido Total</v>
      </c>
      <c r="C20" s="4" t="str">
        <f t="shared" si="1"/>
        <v>Ingresos Propios ejercidos</v>
      </c>
      <c r="D20" s="168" t="str">
        <f t="shared" si="1"/>
        <v>Índice de Autofinancimiento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1450045.3</v>
      </c>
      <c r="C21" s="4">
        <f t="shared" si="2"/>
        <v>114038</v>
      </c>
      <c r="D21" s="4">
        <f t="shared" si="2"/>
        <v>7.8644439590956221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1477702</v>
      </c>
      <c r="C22" s="4">
        <f t="shared" si="2"/>
        <v>97988.800000000003</v>
      </c>
      <c r="D22" s="4">
        <f t="shared" si="2"/>
        <v>6.6311610866060953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1422011.4</v>
      </c>
      <c r="C23" s="4">
        <f t="shared" si="2"/>
        <v>111761.9</v>
      </c>
      <c r="D23" s="4">
        <f t="shared" si="2"/>
        <v>7.8594236304997276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1430230.9999999998</v>
      </c>
      <c r="C24" s="4">
        <f t="shared" si="2"/>
        <v>71903.7</v>
      </c>
      <c r="D24" s="4">
        <f t="shared" si="2"/>
        <v>5.0274186477569014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1521741.574</v>
      </c>
      <c r="C25" s="4">
        <f t="shared" si="2"/>
        <v>51152.853000000003</v>
      </c>
      <c r="D25" s="4">
        <f t="shared" si="2"/>
        <v>3.3614677993939073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1581332.3219999999</v>
      </c>
      <c r="C26" s="4">
        <f t="shared" si="2"/>
        <v>49138.752</v>
      </c>
      <c r="D26" s="4">
        <f t="shared" si="2"/>
        <v>3.1074272824482243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1578480.4650000001</v>
      </c>
      <c r="C27" s="4">
        <f t="shared" si="3"/>
        <v>50314.159</v>
      </c>
      <c r="D27" s="4">
        <f t="shared" si="3"/>
        <v>3.1875059663788745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WhiteSpace="0" zoomScaleNormal="100" zoomScaleSheetLayoutView="100" zoomScalePageLayoutView="75" workbookViewId="0">
      <selection activeCell="K14" sqref="K14"/>
    </sheetView>
  </sheetViews>
  <sheetFormatPr baseColWidth="10" defaultRowHeight="15" x14ac:dyDescent="0.3"/>
  <cols>
    <col min="1" max="1" width="4.42578125" style="9" customWidth="1"/>
    <col min="2" max="2" width="21.5703125" style="9" customWidth="1"/>
    <col min="3" max="9" width="9.7109375" style="9" customWidth="1"/>
    <col min="10" max="254" width="11.42578125" style="9"/>
    <col min="255" max="255" width="5.42578125" style="9" customWidth="1"/>
    <col min="256" max="256" width="25.42578125" style="9" customWidth="1"/>
    <col min="257" max="257" width="9.140625" style="9" customWidth="1"/>
    <col min="258" max="258" width="8.42578125" style="9" customWidth="1"/>
    <col min="259" max="259" width="33.5703125" style="9" customWidth="1"/>
    <col min="260" max="260" width="11.140625" style="9" customWidth="1"/>
    <col min="261" max="510" width="11.42578125" style="9"/>
    <col min="511" max="511" width="5.42578125" style="9" customWidth="1"/>
    <col min="512" max="512" width="25.42578125" style="9" customWidth="1"/>
    <col min="513" max="513" width="9.140625" style="9" customWidth="1"/>
    <col min="514" max="514" width="8.42578125" style="9" customWidth="1"/>
    <col min="515" max="515" width="33.5703125" style="9" customWidth="1"/>
    <col min="516" max="516" width="11.140625" style="9" customWidth="1"/>
    <col min="517" max="766" width="11.42578125" style="9"/>
    <col min="767" max="767" width="5.42578125" style="9" customWidth="1"/>
    <col min="768" max="768" width="25.42578125" style="9" customWidth="1"/>
    <col min="769" max="769" width="9.140625" style="9" customWidth="1"/>
    <col min="770" max="770" width="8.42578125" style="9" customWidth="1"/>
    <col min="771" max="771" width="33.5703125" style="9" customWidth="1"/>
    <col min="772" max="772" width="11.140625" style="9" customWidth="1"/>
    <col min="773" max="1022" width="11.42578125" style="9"/>
    <col min="1023" max="1023" width="5.42578125" style="9" customWidth="1"/>
    <col min="1024" max="1024" width="25.42578125" style="9" customWidth="1"/>
    <col min="1025" max="1025" width="9.140625" style="9" customWidth="1"/>
    <col min="1026" max="1026" width="8.42578125" style="9" customWidth="1"/>
    <col min="1027" max="1027" width="33.5703125" style="9" customWidth="1"/>
    <col min="1028" max="1028" width="11.140625" style="9" customWidth="1"/>
    <col min="1029" max="1278" width="11.42578125" style="9"/>
    <col min="1279" max="1279" width="5.42578125" style="9" customWidth="1"/>
    <col min="1280" max="1280" width="25.42578125" style="9" customWidth="1"/>
    <col min="1281" max="1281" width="9.140625" style="9" customWidth="1"/>
    <col min="1282" max="1282" width="8.42578125" style="9" customWidth="1"/>
    <col min="1283" max="1283" width="33.5703125" style="9" customWidth="1"/>
    <col min="1284" max="1284" width="11.140625" style="9" customWidth="1"/>
    <col min="1285" max="1534" width="11.42578125" style="9"/>
    <col min="1535" max="1535" width="5.42578125" style="9" customWidth="1"/>
    <col min="1536" max="1536" width="25.42578125" style="9" customWidth="1"/>
    <col min="1537" max="1537" width="9.140625" style="9" customWidth="1"/>
    <col min="1538" max="1538" width="8.42578125" style="9" customWidth="1"/>
    <col min="1539" max="1539" width="33.5703125" style="9" customWidth="1"/>
    <col min="1540" max="1540" width="11.140625" style="9" customWidth="1"/>
    <col min="1541" max="1790" width="11.42578125" style="9"/>
    <col min="1791" max="1791" width="5.42578125" style="9" customWidth="1"/>
    <col min="1792" max="1792" width="25.42578125" style="9" customWidth="1"/>
    <col min="1793" max="1793" width="9.140625" style="9" customWidth="1"/>
    <col min="1794" max="1794" width="8.42578125" style="9" customWidth="1"/>
    <col min="1795" max="1795" width="33.5703125" style="9" customWidth="1"/>
    <col min="1796" max="1796" width="11.140625" style="9" customWidth="1"/>
    <col min="1797" max="2046" width="11.42578125" style="9"/>
    <col min="2047" max="2047" width="5.42578125" style="9" customWidth="1"/>
    <col min="2048" max="2048" width="25.42578125" style="9" customWidth="1"/>
    <col min="2049" max="2049" width="9.140625" style="9" customWidth="1"/>
    <col min="2050" max="2050" width="8.42578125" style="9" customWidth="1"/>
    <col min="2051" max="2051" width="33.5703125" style="9" customWidth="1"/>
    <col min="2052" max="2052" width="11.140625" style="9" customWidth="1"/>
    <col min="2053" max="2302" width="11.42578125" style="9"/>
    <col min="2303" max="2303" width="5.42578125" style="9" customWidth="1"/>
    <col min="2304" max="2304" width="25.42578125" style="9" customWidth="1"/>
    <col min="2305" max="2305" width="9.140625" style="9" customWidth="1"/>
    <col min="2306" max="2306" width="8.42578125" style="9" customWidth="1"/>
    <col min="2307" max="2307" width="33.5703125" style="9" customWidth="1"/>
    <col min="2308" max="2308" width="11.140625" style="9" customWidth="1"/>
    <col min="2309" max="2558" width="11.42578125" style="9"/>
    <col min="2559" max="2559" width="5.42578125" style="9" customWidth="1"/>
    <col min="2560" max="2560" width="25.42578125" style="9" customWidth="1"/>
    <col min="2561" max="2561" width="9.140625" style="9" customWidth="1"/>
    <col min="2562" max="2562" width="8.42578125" style="9" customWidth="1"/>
    <col min="2563" max="2563" width="33.5703125" style="9" customWidth="1"/>
    <col min="2564" max="2564" width="11.140625" style="9" customWidth="1"/>
    <col min="2565" max="2814" width="11.42578125" style="9"/>
    <col min="2815" max="2815" width="5.42578125" style="9" customWidth="1"/>
    <col min="2816" max="2816" width="25.42578125" style="9" customWidth="1"/>
    <col min="2817" max="2817" width="9.140625" style="9" customWidth="1"/>
    <col min="2818" max="2818" width="8.42578125" style="9" customWidth="1"/>
    <col min="2819" max="2819" width="33.5703125" style="9" customWidth="1"/>
    <col min="2820" max="2820" width="11.140625" style="9" customWidth="1"/>
    <col min="2821" max="3070" width="11.42578125" style="9"/>
    <col min="3071" max="3071" width="5.42578125" style="9" customWidth="1"/>
    <col min="3072" max="3072" width="25.42578125" style="9" customWidth="1"/>
    <col min="3073" max="3073" width="9.140625" style="9" customWidth="1"/>
    <col min="3074" max="3074" width="8.42578125" style="9" customWidth="1"/>
    <col min="3075" max="3075" width="33.5703125" style="9" customWidth="1"/>
    <col min="3076" max="3076" width="11.140625" style="9" customWidth="1"/>
    <col min="3077" max="3326" width="11.42578125" style="9"/>
    <col min="3327" max="3327" width="5.42578125" style="9" customWidth="1"/>
    <col min="3328" max="3328" width="25.42578125" style="9" customWidth="1"/>
    <col min="3329" max="3329" width="9.140625" style="9" customWidth="1"/>
    <col min="3330" max="3330" width="8.42578125" style="9" customWidth="1"/>
    <col min="3331" max="3331" width="33.5703125" style="9" customWidth="1"/>
    <col min="3332" max="3332" width="11.140625" style="9" customWidth="1"/>
    <col min="3333" max="3582" width="11.42578125" style="9"/>
    <col min="3583" max="3583" width="5.42578125" style="9" customWidth="1"/>
    <col min="3584" max="3584" width="25.42578125" style="9" customWidth="1"/>
    <col min="3585" max="3585" width="9.140625" style="9" customWidth="1"/>
    <col min="3586" max="3586" width="8.42578125" style="9" customWidth="1"/>
    <col min="3587" max="3587" width="33.5703125" style="9" customWidth="1"/>
    <col min="3588" max="3588" width="11.140625" style="9" customWidth="1"/>
    <col min="3589" max="3838" width="11.42578125" style="9"/>
    <col min="3839" max="3839" width="5.42578125" style="9" customWidth="1"/>
    <col min="3840" max="3840" width="25.42578125" style="9" customWidth="1"/>
    <col min="3841" max="3841" width="9.140625" style="9" customWidth="1"/>
    <col min="3842" max="3842" width="8.42578125" style="9" customWidth="1"/>
    <col min="3843" max="3843" width="33.5703125" style="9" customWidth="1"/>
    <col min="3844" max="3844" width="11.140625" style="9" customWidth="1"/>
    <col min="3845" max="4094" width="11.42578125" style="9"/>
    <col min="4095" max="4095" width="5.42578125" style="9" customWidth="1"/>
    <col min="4096" max="4096" width="25.42578125" style="9" customWidth="1"/>
    <col min="4097" max="4097" width="9.140625" style="9" customWidth="1"/>
    <col min="4098" max="4098" width="8.42578125" style="9" customWidth="1"/>
    <col min="4099" max="4099" width="33.5703125" style="9" customWidth="1"/>
    <col min="4100" max="4100" width="11.140625" style="9" customWidth="1"/>
    <col min="4101" max="4350" width="11.42578125" style="9"/>
    <col min="4351" max="4351" width="5.42578125" style="9" customWidth="1"/>
    <col min="4352" max="4352" width="25.42578125" style="9" customWidth="1"/>
    <col min="4353" max="4353" width="9.140625" style="9" customWidth="1"/>
    <col min="4354" max="4354" width="8.42578125" style="9" customWidth="1"/>
    <col min="4355" max="4355" width="33.5703125" style="9" customWidth="1"/>
    <col min="4356" max="4356" width="11.140625" style="9" customWidth="1"/>
    <col min="4357" max="4606" width="11.42578125" style="9"/>
    <col min="4607" max="4607" width="5.42578125" style="9" customWidth="1"/>
    <col min="4608" max="4608" width="25.42578125" style="9" customWidth="1"/>
    <col min="4609" max="4609" width="9.140625" style="9" customWidth="1"/>
    <col min="4610" max="4610" width="8.42578125" style="9" customWidth="1"/>
    <col min="4611" max="4611" width="33.5703125" style="9" customWidth="1"/>
    <col min="4612" max="4612" width="11.140625" style="9" customWidth="1"/>
    <col min="4613" max="4862" width="11.42578125" style="9"/>
    <col min="4863" max="4863" width="5.42578125" style="9" customWidth="1"/>
    <col min="4864" max="4864" width="25.42578125" style="9" customWidth="1"/>
    <col min="4865" max="4865" width="9.140625" style="9" customWidth="1"/>
    <col min="4866" max="4866" width="8.42578125" style="9" customWidth="1"/>
    <col min="4867" max="4867" width="33.5703125" style="9" customWidth="1"/>
    <col min="4868" max="4868" width="11.140625" style="9" customWidth="1"/>
    <col min="4869" max="5118" width="11.42578125" style="9"/>
    <col min="5119" max="5119" width="5.42578125" style="9" customWidth="1"/>
    <col min="5120" max="5120" width="25.42578125" style="9" customWidth="1"/>
    <col min="5121" max="5121" width="9.140625" style="9" customWidth="1"/>
    <col min="5122" max="5122" width="8.42578125" style="9" customWidth="1"/>
    <col min="5123" max="5123" width="33.5703125" style="9" customWidth="1"/>
    <col min="5124" max="5124" width="11.140625" style="9" customWidth="1"/>
    <col min="5125" max="5374" width="11.42578125" style="9"/>
    <col min="5375" max="5375" width="5.42578125" style="9" customWidth="1"/>
    <col min="5376" max="5376" width="25.42578125" style="9" customWidth="1"/>
    <col min="5377" max="5377" width="9.140625" style="9" customWidth="1"/>
    <col min="5378" max="5378" width="8.42578125" style="9" customWidth="1"/>
    <col min="5379" max="5379" width="33.5703125" style="9" customWidth="1"/>
    <col min="5380" max="5380" width="11.140625" style="9" customWidth="1"/>
    <col min="5381" max="5630" width="11.42578125" style="9"/>
    <col min="5631" max="5631" width="5.42578125" style="9" customWidth="1"/>
    <col min="5632" max="5632" width="25.42578125" style="9" customWidth="1"/>
    <col min="5633" max="5633" width="9.140625" style="9" customWidth="1"/>
    <col min="5634" max="5634" width="8.42578125" style="9" customWidth="1"/>
    <col min="5635" max="5635" width="33.5703125" style="9" customWidth="1"/>
    <col min="5636" max="5636" width="11.140625" style="9" customWidth="1"/>
    <col min="5637" max="5886" width="11.42578125" style="9"/>
    <col min="5887" max="5887" width="5.42578125" style="9" customWidth="1"/>
    <col min="5888" max="5888" width="25.42578125" style="9" customWidth="1"/>
    <col min="5889" max="5889" width="9.140625" style="9" customWidth="1"/>
    <col min="5890" max="5890" width="8.42578125" style="9" customWidth="1"/>
    <col min="5891" max="5891" width="33.5703125" style="9" customWidth="1"/>
    <col min="5892" max="5892" width="11.140625" style="9" customWidth="1"/>
    <col min="5893" max="6142" width="11.42578125" style="9"/>
    <col min="6143" max="6143" width="5.42578125" style="9" customWidth="1"/>
    <col min="6144" max="6144" width="25.42578125" style="9" customWidth="1"/>
    <col min="6145" max="6145" width="9.140625" style="9" customWidth="1"/>
    <col min="6146" max="6146" width="8.42578125" style="9" customWidth="1"/>
    <col min="6147" max="6147" width="33.5703125" style="9" customWidth="1"/>
    <col min="6148" max="6148" width="11.140625" style="9" customWidth="1"/>
    <col min="6149" max="6398" width="11.42578125" style="9"/>
    <col min="6399" max="6399" width="5.42578125" style="9" customWidth="1"/>
    <col min="6400" max="6400" width="25.42578125" style="9" customWidth="1"/>
    <col min="6401" max="6401" width="9.140625" style="9" customWidth="1"/>
    <col min="6402" max="6402" width="8.42578125" style="9" customWidth="1"/>
    <col min="6403" max="6403" width="33.5703125" style="9" customWidth="1"/>
    <col min="6404" max="6404" width="11.140625" style="9" customWidth="1"/>
    <col min="6405" max="6654" width="11.42578125" style="9"/>
    <col min="6655" max="6655" width="5.42578125" style="9" customWidth="1"/>
    <col min="6656" max="6656" width="25.42578125" style="9" customWidth="1"/>
    <col min="6657" max="6657" width="9.140625" style="9" customWidth="1"/>
    <col min="6658" max="6658" width="8.42578125" style="9" customWidth="1"/>
    <col min="6659" max="6659" width="33.5703125" style="9" customWidth="1"/>
    <col min="6660" max="6660" width="11.140625" style="9" customWidth="1"/>
    <col min="6661" max="6910" width="11.42578125" style="9"/>
    <col min="6911" max="6911" width="5.42578125" style="9" customWidth="1"/>
    <col min="6912" max="6912" width="25.42578125" style="9" customWidth="1"/>
    <col min="6913" max="6913" width="9.140625" style="9" customWidth="1"/>
    <col min="6914" max="6914" width="8.42578125" style="9" customWidth="1"/>
    <col min="6915" max="6915" width="33.5703125" style="9" customWidth="1"/>
    <col min="6916" max="6916" width="11.140625" style="9" customWidth="1"/>
    <col min="6917" max="7166" width="11.42578125" style="9"/>
    <col min="7167" max="7167" width="5.42578125" style="9" customWidth="1"/>
    <col min="7168" max="7168" width="25.42578125" style="9" customWidth="1"/>
    <col min="7169" max="7169" width="9.140625" style="9" customWidth="1"/>
    <col min="7170" max="7170" width="8.42578125" style="9" customWidth="1"/>
    <col min="7171" max="7171" width="33.5703125" style="9" customWidth="1"/>
    <col min="7172" max="7172" width="11.140625" style="9" customWidth="1"/>
    <col min="7173" max="7422" width="11.42578125" style="9"/>
    <col min="7423" max="7423" width="5.42578125" style="9" customWidth="1"/>
    <col min="7424" max="7424" width="25.42578125" style="9" customWidth="1"/>
    <col min="7425" max="7425" width="9.140625" style="9" customWidth="1"/>
    <col min="7426" max="7426" width="8.42578125" style="9" customWidth="1"/>
    <col min="7427" max="7427" width="33.5703125" style="9" customWidth="1"/>
    <col min="7428" max="7428" width="11.140625" style="9" customWidth="1"/>
    <col min="7429" max="7678" width="11.42578125" style="9"/>
    <col min="7679" max="7679" width="5.42578125" style="9" customWidth="1"/>
    <col min="7680" max="7680" width="25.42578125" style="9" customWidth="1"/>
    <col min="7681" max="7681" width="9.140625" style="9" customWidth="1"/>
    <col min="7682" max="7682" width="8.42578125" style="9" customWidth="1"/>
    <col min="7683" max="7683" width="33.5703125" style="9" customWidth="1"/>
    <col min="7684" max="7684" width="11.140625" style="9" customWidth="1"/>
    <col min="7685" max="7934" width="11.42578125" style="9"/>
    <col min="7935" max="7935" width="5.42578125" style="9" customWidth="1"/>
    <col min="7936" max="7936" width="25.42578125" style="9" customWidth="1"/>
    <col min="7937" max="7937" width="9.140625" style="9" customWidth="1"/>
    <col min="7938" max="7938" width="8.42578125" style="9" customWidth="1"/>
    <col min="7939" max="7939" width="33.5703125" style="9" customWidth="1"/>
    <col min="7940" max="7940" width="11.140625" style="9" customWidth="1"/>
    <col min="7941" max="8190" width="11.42578125" style="9"/>
    <col min="8191" max="8191" width="5.42578125" style="9" customWidth="1"/>
    <col min="8192" max="8192" width="25.42578125" style="9" customWidth="1"/>
    <col min="8193" max="8193" width="9.140625" style="9" customWidth="1"/>
    <col min="8194" max="8194" width="8.42578125" style="9" customWidth="1"/>
    <col min="8195" max="8195" width="33.5703125" style="9" customWidth="1"/>
    <col min="8196" max="8196" width="11.140625" style="9" customWidth="1"/>
    <col min="8197" max="8446" width="11.42578125" style="9"/>
    <col min="8447" max="8447" width="5.42578125" style="9" customWidth="1"/>
    <col min="8448" max="8448" width="25.42578125" style="9" customWidth="1"/>
    <col min="8449" max="8449" width="9.140625" style="9" customWidth="1"/>
    <col min="8450" max="8450" width="8.42578125" style="9" customWidth="1"/>
    <col min="8451" max="8451" width="33.5703125" style="9" customWidth="1"/>
    <col min="8452" max="8452" width="11.140625" style="9" customWidth="1"/>
    <col min="8453" max="8702" width="11.42578125" style="9"/>
    <col min="8703" max="8703" width="5.42578125" style="9" customWidth="1"/>
    <col min="8704" max="8704" width="25.42578125" style="9" customWidth="1"/>
    <col min="8705" max="8705" width="9.140625" style="9" customWidth="1"/>
    <col min="8706" max="8706" width="8.42578125" style="9" customWidth="1"/>
    <col min="8707" max="8707" width="33.5703125" style="9" customWidth="1"/>
    <col min="8708" max="8708" width="11.140625" style="9" customWidth="1"/>
    <col min="8709" max="8958" width="11.42578125" style="9"/>
    <col min="8959" max="8959" width="5.42578125" style="9" customWidth="1"/>
    <col min="8960" max="8960" width="25.42578125" style="9" customWidth="1"/>
    <col min="8961" max="8961" width="9.140625" style="9" customWidth="1"/>
    <col min="8962" max="8962" width="8.42578125" style="9" customWidth="1"/>
    <col min="8963" max="8963" width="33.5703125" style="9" customWidth="1"/>
    <col min="8964" max="8964" width="11.140625" style="9" customWidth="1"/>
    <col min="8965" max="9214" width="11.42578125" style="9"/>
    <col min="9215" max="9215" width="5.42578125" style="9" customWidth="1"/>
    <col min="9216" max="9216" width="25.42578125" style="9" customWidth="1"/>
    <col min="9217" max="9217" width="9.140625" style="9" customWidth="1"/>
    <col min="9218" max="9218" width="8.42578125" style="9" customWidth="1"/>
    <col min="9219" max="9219" width="33.5703125" style="9" customWidth="1"/>
    <col min="9220" max="9220" width="11.140625" style="9" customWidth="1"/>
    <col min="9221" max="9470" width="11.42578125" style="9"/>
    <col min="9471" max="9471" width="5.42578125" style="9" customWidth="1"/>
    <col min="9472" max="9472" width="25.42578125" style="9" customWidth="1"/>
    <col min="9473" max="9473" width="9.140625" style="9" customWidth="1"/>
    <col min="9474" max="9474" width="8.42578125" style="9" customWidth="1"/>
    <col min="9475" max="9475" width="33.5703125" style="9" customWidth="1"/>
    <col min="9476" max="9476" width="11.140625" style="9" customWidth="1"/>
    <col min="9477" max="9726" width="11.42578125" style="9"/>
    <col min="9727" max="9727" width="5.42578125" style="9" customWidth="1"/>
    <col min="9728" max="9728" width="25.42578125" style="9" customWidth="1"/>
    <col min="9729" max="9729" width="9.140625" style="9" customWidth="1"/>
    <col min="9730" max="9730" width="8.42578125" style="9" customWidth="1"/>
    <col min="9731" max="9731" width="33.5703125" style="9" customWidth="1"/>
    <col min="9732" max="9732" width="11.140625" style="9" customWidth="1"/>
    <col min="9733" max="9982" width="11.42578125" style="9"/>
    <col min="9983" max="9983" width="5.42578125" style="9" customWidth="1"/>
    <col min="9984" max="9984" width="25.42578125" style="9" customWidth="1"/>
    <col min="9985" max="9985" width="9.140625" style="9" customWidth="1"/>
    <col min="9986" max="9986" width="8.42578125" style="9" customWidth="1"/>
    <col min="9987" max="9987" width="33.5703125" style="9" customWidth="1"/>
    <col min="9988" max="9988" width="11.140625" style="9" customWidth="1"/>
    <col min="9989" max="10238" width="11.42578125" style="9"/>
    <col min="10239" max="10239" width="5.42578125" style="9" customWidth="1"/>
    <col min="10240" max="10240" width="25.42578125" style="9" customWidth="1"/>
    <col min="10241" max="10241" width="9.140625" style="9" customWidth="1"/>
    <col min="10242" max="10242" width="8.42578125" style="9" customWidth="1"/>
    <col min="10243" max="10243" width="33.5703125" style="9" customWidth="1"/>
    <col min="10244" max="10244" width="11.140625" style="9" customWidth="1"/>
    <col min="10245" max="10494" width="11.42578125" style="9"/>
    <col min="10495" max="10495" width="5.42578125" style="9" customWidth="1"/>
    <col min="10496" max="10496" width="25.42578125" style="9" customWidth="1"/>
    <col min="10497" max="10497" width="9.140625" style="9" customWidth="1"/>
    <col min="10498" max="10498" width="8.42578125" style="9" customWidth="1"/>
    <col min="10499" max="10499" width="33.5703125" style="9" customWidth="1"/>
    <col min="10500" max="10500" width="11.140625" style="9" customWidth="1"/>
    <col min="10501" max="10750" width="11.42578125" style="9"/>
    <col min="10751" max="10751" width="5.42578125" style="9" customWidth="1"/>
    <col min="10752" max="10752" width="25.42578125" style="9" customWidth="1"/>
    <col min="10753" max="10753" width="9.140625" style="9" customWidth="1"/>
    <col min="10754" max="10754" width="8.42578125" style="9" customWidth="1"/>
    <col min="10755" max="10755" width="33.5703125" style="9" customWidth="1"/>
    <col min="10756" max="10756" width="11.140625" style="9" customWidth="1"/>
    <col min="10757" max="11006" width="11.42578125" style="9"/>
    <col min="11007" max="11007" width="5.42578125" style="9" customWidth="1"/>
    <col min="11008" max="11008" width="25.42578125" style="9" customWidth="1"/>
    <col min="11009" max="11009" width="9.140625" style="9" customWidth="1"/>
    <col min="11010" max="11010" width="8.42578125" style="9" customWidth="1"/>
    <col min="11011" max="11011" width="33.5703125" style="9" customWidth="1"/>
    <col min="11012" max="11012" width="11.140625" style="9" customWidth="1"/>
    <col min="11013" max="11262" width="11.42578125" style="9"/>
    <col min="11263" max="11263" width="5.42578125" style="9" customWidth="1"/>
    <col min="11264" max="11264" width="25.42578125" style="9" customWidth="1"/>
    <col min="11265" max="11265" width="9.140625" style="9" customWidth="1"/>
    <col min="11266" max="11266" width="8.42578125" style="9" customWidth="1"/>
    <col min="11267" max="11267" width="33.5703125" style="9" customWidth="1"/>
    <col min="11268" max="11268" width="11.140625" style="9" customWidth="1"/>
    <col min="11269" max="11518" width="11.42578125" style="9"/>
    <col min="11519" max="11519" width="5.42578125" style="9" customWidth="1"/>
    <col min="11520" max="11520" width="25.42578125" style="9" customWidth="1"/>
    <col min="11521" max="11521" width="9.140625" style="9" customWidth="1"/>
    <col min="11522" max="11522" width="8.42578125" style="9" customWidth="1"/>
    <col min="11523" max="11523" width="33.5703125" style="9" customWidth="1"/>
    <col min="11524" max="11524" width="11.140625" style="9" customWidth="1"/>
    <col min="11525" max="11774" width="11.42578125" style="9"/>
    <col min="11775" max="11775" width="5.42578125" style="9" customWidth="1"/>
    <col min="11776" max="11776" width="25.42578125" style="9" customWidth="1"/>
    <col min="11777" max="11777" width="9.140625" style="9" customWidth="1"/>
    <col min="11778" max="11778" width="8.42578125" style="9" customWidth="1"/>
    <col min="11779" max="11779" width="33.5703125" style="9" customWidth="1"/>
    <col min="11780" max="11780" width="11.140625" style="9" customWidth="1"/>
    <col min="11781" max="12030" width="11.42578125" style="9"/>
    <col min="12031" max="12031" width="5.42578125" style="9" customWidth="1"/>
    <col min="12032" max="12032" width="25.42578125" style="9" customWidth="1"/>
    <col min="12033" max="12033" width="9.140625" style="9" customWidth="1"/>
    <col min="12034" max="12034" width="8.42578125" style="9" customWidth="1"/>
    <col min="12035" max="12035" width="33.5703125" style="9" customWidth="1"/>
    <col min="12036" max="12036" width="11.140625" style="9" customWidth="1"/>
    <col min="12037" max="12286" width="11.42578125" style="9"/>
    <col min="12287" max="12287" width="5.42578125" style="9" customWidth="1"/>
    <col min="12288" max="12288" width="25.42578125" style="9" customWidth="1"/>
    <col min="12289" max="12289" width="9.140625" style="9" customWidth="1"/>
    <col min="12290" max="12290" width="8.42578125" style="9" customWidth="1"/>
    <col min="12291" max="12291" width="33.5703125" style="9" customWidth="1"/>
    <col min="12292" max="12292" width="11.140625" style="9" customWidth="1"/>
    <col min="12293" max="12542" width="11.42578125" style="9"/>
    <col min="12543" max="12543" width="5.42578125" style="9" customWidth="1"/>
    <col min="12544" max="12544" width="25.42578125" style="9" customWidth="1"/>
    <col min="12545" max="12545" width="9.140625" style="9" customWidth="1"/>
    <col min="12546" max="12546" width="8.42578125" style="9" customWidth="1"/>
    <col min="12547" max="12547" width="33.5703125" style="9" customWidth="1"/>
    <col min="12548" max="12548" width="11.140625" style="9" customWidth="1"/>
    <col min="12549" max="12798" width="11.42578125" style="9"/>
    <col min="12799" max="12799" width="5.42578125" style="9" customWidth="1"/>
    <col min="12800" max="12800" width="25.42578125" style="9" customWidth="1"/>
    <col min="12801" max="12801" width="9.140625" style="9" customWidth="1"/>
    <col min="12802" max="12802" width="8.42578125" style="9" customWidth="1"/>
    <col min="12803" max="12803" width="33.5703125" style="9" customWidth="1"/>
    <col min="12804" max="12804" width="11.140625" style="9" customWidth="1"/>
    <col min="12805" max="13054" width="11.42578125" style="9"/>
    <col min="13055" max="13055" width="5.42578125" style="9" customWidth="1"/>
    <col min="13056" max="13056" width="25.42578125" style="9" customWidth="1"/>
    <col min="13057" max="13057" width="9.140625" style="9" customWidth="1"/>
    <col min="13058" max="13058" width="8.42578125" style="9" customWidth="1"/>
    <col min="13059" max="13059" width="33.5703125" style="9" customWidth="1"/>
    <col min="13060" max="13060" width="11.140625" style="9" customWidth="1"/>
    <col min="13061" max="13310" width="11.42578125" style="9"/>
    <col min="13311" max="13311" width="5.42578125" style="9" customWidth="1"/>
    <col min="13312" max="13312" width="25.42578125" style="9" customWidth="1"/>
    <col min="13313" max="13313" width="9.140625" style="9" customWidth="1"/>
    <col min="13314" max="13314" width="8.42578125" style="9" customWidth="1"/>
    <col min="13315" max="13315" width="33.5703125" style="9" customWidth="1"/>
    <col min="13316" max="13316" width="11.140625" style="9" customWidth="1"/>
    <col min="13317" max="13566" width="11.42578125" style="9"/>
    <col min="13567" max="13567" width="5.42578125" style="9" customWidth="1"/>
    <col min="13568" max="13568" width="25.42578125" style="9" customWidth="1"/>
    <col min="13569" max="13569" width="9.140625" style="9" customWidth="1"/>
    <col min="13570" max="13570" width="8.42578125" style="9" customWidth="1"/>
    <col min="13571" max="13571" width="33.5703125" style="9" customWidth="1"/>
    <col min="13572" max="13572" width="11.140625" style="9" customWidth="1"/>
    <col min="13573" max="13822" width="11.42578125" style="9"/>
    <col min="13823" max="13823" width="5.42578125" style="9" customWidth="1"/>
    <col min="13824" max="13824" width="25.42578125" style="9" customWidth="1"/>
    <col min="13825" max="13825" width="9.140625" style="9" customWidth="1"/>
    <col min="13826" max="13826" width="8.42578125" style="9" customWidth="1"/>
    <col min="13827" max="13827" width="33.5703125" style="9" customWidth="1"/>
    <col min="13828" max="13828" width="11.140625" style="9" customWidth="1"/>
    <col min="13829" max="14078" width="11.42578125" style="9"/>
    <col min="14079" max="14079" width="5.42578125" style="9" customWidth="1"/>
    <col min="14080" max="14080" width="25.42578125" style="9" customWidth="1"/>
    <col min="14081" max="14081" width="9.140625" style="9" customWidth="1"/>
    <col min="14082" max="14082" width="8.42578125" style="9" customWidth="1"/>
    <col min="14083" max="14083" width="33.5703125" style="9" customWidth="1"/>
    <col min="14084" max="14084" width="11.140625" style="9" customWidth="1"/>
    <col min="14085" max="14334" width="11.42578125" style="9"/>
    <col min="14335" max="14335" width="5.42578125" style="9" customWidth="1"/>
    <col min="14336" max="14336" width="25.42578125" style="9" customWidth="1"/>
    <col min="14337" max="14337" width="9.140625" style="9" customWidth="1"/>
    <col min="14338" max="14338" width="8.42578125" style="9" customWidth="1"/>
    <col min="14339" max="14339" width="33.5703125" style="9" customWidth="1"/>
    <col min="14340" max="14340" width="11.140625" style="9" customWidth="1"/>
    <col min="14341" max="14590" width="11.42578125" style="9"/>
    <col min="14591" max="14591" width="5.42578125" style="9" customWidth="1"/>
    <col min="14592" max="14592" width="25.42578125" style="9" customWidth="1"/>
    <col min="14593" max="14593" width="9.140625" style="9" customWidth="1"/>
    <col min="14594" max="14594" width="8.42578125" style="9" customWidth="1"/>
    <col min="14595" max="14595" width="33.5703125" style="9" customWidth="1"/>
    <col min="14596" max="14596" width="11.140625" style="9" customWidth="1"/>
    <col min="14597" max="14846" width="11.42578125" style="9"/>
    <col min="14847" max="14847" width="5.42578125" style="9" customWidth="1"/>
    <col min="14848" max="14848" width="25.42578125" style="9" customWidth="1"/>
    <col min="14849" max="14849" width="9.140625" style="9" customWidth="1"/>
    <col min="14850" max="14850" width="8.42578125" style="9" customWidth="1"/>
    <col min="14851" max="14851" width="33.5703125" style="9" customWidth="1"/>
    <col min="14852" max="14852" width="11.140625" style="9" customWidth="1"/>
    <col min="14853" max="15102" width="11.42578125" style="9"/>
    <col min="15103" max="15103" width="5.42578125" style="9" customWidth="1"/>
    <col min="15104" max="15104" width="25.42578125" style="9" customWidth="1"/>
    <col min="15105" max="15105" width="9.140625" style="9" customWidth="1"/>
    <col min="15106" max="15106" width="8.42578125" style="9" customWidth="1"/>
    <col min="15107" max="15107" width="33.5703125" style="9" customWidth="1"/>
    <col min="15108" max="15108" width="11.140625" style="9" customWidth="1"/>
    <col min="15109" max="15358" width="11.42578125" style="9"/>
    <col min="15359" max="15359" width="5.42578125" style="9" customWidth="1"/>
    <col min="15360" max="15360" width="25.42578125" style="9" customWidth="1"/>
    <col min="15361" max="15361" width="9.140625" style="9" customWidth="1"/>
    <col min="15362" max="15362" width="8.42578125" style="9" customWidth="1"/>
    <col min="15363" max="15363" width="33.5703125" style="9" customWidth="1"/>
    <col min="15364" max="15364" width="11.140625" style="9" customWidth="1"/>
    <col min="15365" max="15614" width="11.42578125" style="9"/>
    <col min="15615" max="15615" width="5.42578125" style="9" customWidth="1"/>
    <col min="15616" max="15616" width="25.42578125" style="9" customWidth="1"/>
    <col min="15617" max="15617" width="9.140625" style="9" customWidth="1"/>
    <col min="15618" max="15618" width="8.42578125" style="9" customWidth="1"/>
    <col min="15619" max="15619" width="33.5703125" style="9" customWidth="1"/>
    <col min="15620" max="15620" width="11.140625" style="9" customWidth="1"/>
    <col min="15621" max="15870" width="11.42578125" style="9"/>
    <col min="15871" max="15871" width="5.42578125" style="9" customWidth="1"/>
    <col min="15872" max="15872" width="25.42578125" style="9" customWidth="1"/>
    <col min="15873" max="15873" width="9.140625" style="9" customWidth="1"/>
    <col min="15874" max="15874" width="8.42578125" style="9" customWidth="1"/>
    <col min="15875" max="15875" width="33.5703125" style="9" customWidth="1"/>
    <col min="15876" max="15876" width="11.140625" style="9" customWidth="1"/>
    <col min="15877" max="16126" width="11.42578125" style="9"/>
    <col min="16127" max="16127" width="5.42578125" style="9" customWidth="1"/>
    <col min="16128" max="16128" width="25.42578125" style="9" customWidth="1"/>
    <col min="16129" max="16129" width="9.140625" style="9" customWidth="1"/>
    <col min="16130" max="16130" width="8.42578125" style="9" customWidth="1"/>
    <col min="16131" max="16131" width="33.5703125" style="9" customWidth="1"/>
    <col min="16132" max="16132" width="11.140625" style="9" customWidth="1"/>
    <col min="16133" max="16384" width="11.42578125" style="9"/>
  </cols>
  <sheetData>
    <row r="1" spans="1:9" ht="15" customHeight="1" x14ac:dyDescent="0.3">
      <c r="I1" s="73" t="s">
        <v>48</v>
      </c>
    </row>
    <row r="2" spans="1:9" ht="15" customHeight="1" x14ac:dyDescent="0.3">
      <c r="I2" s="8" t="s">
        <v>42</v>
      </c>
    </row>
    <row r="3" spans="1:9" ht="15" customHeight="1" x14ac:dyDescent="0.3"/>
    <row r="4" spans="1:9" s="18" customFormat="1" ht="15" customHeight="1" x14ac:dyDescent="0.25">
      <c r="A4" s="17"/>
    </row>
    <row r="5" spans="1:9" ht="15" customHeight="1" x14ac:dyDescent="0.3">
      <c r="A5" s="61" t="s">
        <v>97</v>
      </c>
      <c r="B5" s="62"/>
      <c r="C5" s="62"/>
      <c r="D5" s="62"/>
      <c r="E5" s="62"/>
      <c r="F5" s="62"/>
      <c r="G5" s="62"/>
      <c r="H5" s="62"/>
      <c r="I5" s="63"/>
    </row>
    <row r="6" spans="1:9" ht="7.5" customHeigh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9" ht="19.5" customHeight="1" x14ac:dyDescent="0.3">
      <c r="A7" s="22" t="s">
        <v>33</v>
      </c>
      <c r="B7" s="22" t="s">
        <v>34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</row>
    <row r="8" spans="1:9" ht="4.5" customHeight="1" x14ac:dyDescent="0.3">
      <c r="A8" s="5"/>
      <c r="B8" s="5"/>
      <c r="C8" s="5"/>
      <c r="D8" s="5"/>
      <c r="E8" s="5"/>
      <c r="F8" s="5"/>
      <c r="G8" s="5"/>
      <c r="H8" s="5"/>
      <c r="I8" s="5"/>
    </row>
    <row r="9" spans="1:9" ht="15" customHeight="1" x14ac:dyDescent="0.3">
      <c r="A9" s="66" t="s">
        <v>46</v>
      </c>
      <c r="B9" s="64"/>
      <c r="C9" s="64"/>
      <c r="D9" s="64"/>
      <c r="E9" s="64"/>
      <c r="F9" s="64"/>
      <c r="G9" s="64"/>
      <c r="H9" s="64"/>
      <c r="I9" s="65"/>
    </row>
    <row r="10" spans="1:9" ht="30" customHeight="1" x14ac:dyDescent="0.3">
      <c r="A10" s="103">
        <v>1</v>
      </c>
      <c r="B10" s="68" t="s">
        <v>100</v>
      </c>
      <c r="C10" s="113">
        <f>cobertura!B8</f>
        <v>3.5886737030570868</v>
      </c>
      <c r="D10" s="113">
        <f>cobertura!$B9</f>
        <v>3.6066068210471562</v>
      </c>
      <c r="E10" s="113">
        <f>cobertura!$B10</f>
        <v>3.6164394797381685</v>
      </c>
      <c r="F10" s="113">
        <f>cobertura!$B11</f>
        <v>3.6499929623287373</v>
      </c>
      <c r="G10" s="113">
        <f>cobertura!$B12</f>
        <v>3.7629704979145839</v>
      </c>
      <c r="H10" s="113">
        <f>cobertura!$B13</f>
        <v>3.8761252017141596</v>
      </c>
      <c r="I10" s="113">
        <f>cobertura!$B14</f>
        <v>3.8587193062876439</v>
      </c>
    </row>
    <row r="11" spans="1:9" ht="30" customHeight="1" x14ac:dyDescent="0.3">
      <c r="A11" s="104">
        <v>2</v>
      </c>
      <c r="B11" s="71" t="s">
        <v>101</v>
      </c>
      <c r="C11" s="126">
        <f>demanda!B8</f>
        <v>73.055395049406712</v>
      </c>
      <c r="D11" s="126">
        <f>demanda!$B9</f>
        <v>77.31354499342477</v>
      </c>
      <c r="E11" s="127">
        <f>demanda!$B10</f>
        <v>81.471791231450496</v>
      </c>
      <c r="F11" s="127">
        <f>demanda!$B11</f>
        <v>83.466287481002666</v>
      </c>
      <c r="G11" s="127">
        <f>demanda!$B12</f>
        <v>77.391225361068223</v>
      </c>
      <c r="H11" s="127">
        <f>demanda!$B13</f>
        <v>80.070425230604357</v>
      </c>
      <c r="I11" s="127">
        <f>demanda!$B14</f>
        <v>81.04278601558201</v>
      </c>
    </row>
    <row r="12" spans="1:9" ht="30" customHeight="1" x14ac:dyDescent="0.3">
      <c r="A12" s="105">
        <v>3</v>
      </c>
      <c r="B12" s="23" t="s">
        <v>96</v>
      </c>
      <c r="C12" s="114">
        <f>absorcion!B8</f>
        <v>6.9948257468689876</v>
      </c>
      <c r="D12" s="114">
        <f>absorcion!$B9</f>
        <v>6.7917765054328934</v>
      </c>
      <c r="E12" s="115">
        <f>absorcion!$B10</f>
        <v>6.5755004782569069</v>
      </c>
      <c r="F12" s="115">
        <f>absorcion!$B11</f>
        <v>6.4057953167104937</v>
      </c>
      <c r="G12" s="115">
        <f>absorcion!$B12</f>
        <v>6.120704312031398</v>
      </c>
      <c r="H12" s="115">
        <f>absorcion!$B13</f>
        <v>5.8798564325685589</v>
      </c>
      <c r="I12" s="115">
        <f>absorcion!$B14</f>
        <v>5.7563120080126753</v>
      </c>
    </row>
    <row r="13" spans="1:9" ht="30" customHeight="1" x14ac:dyDescent="0.3">
      <c r="A13" s="106">
        <v>4</v>
      </c>
      <c r="B13" s="69" t="s">
        <v>99</v>
      </c>
      <c r="C13" s="125">
        <f>matricula!$B$8</f>
        <v>303955</v>
      </c>
      <c r="D13" s="125">
        <f>matricula!$B$9</f>
        <v>303464</v>
      </c>
      <c r="E13" s="107">
        <f>matricula!$B$10</f>
        <v>301751</v>
      </c>
      <c r="F13" s="107">
        <f>matricula!$B$11</f>
        <v>305246</v>
      </c>
      <c r="G13" s="107">
        <f>matricula!$B$12</f>
        <v>307921</v>
      </c>
      <c r="H13" s="107">
        <f>matricula!$B$13</f>
        <v>311816</v>
      </c>
      <c r="I13" s="107">
        <f>matricula!$B$14</f>
        <v>307859</v>
      </c>
    </row>
    <row r="14" spans="1:9" ht="30" customHeight="1" x14ac:dyDescent="0.3">
      <c r="A14" s="105">
        <v>5</v>
      </c>
      <c r="B14" s="67" t="s">
        <v>98</v>
      </c>
      <c r="C14" s="128">
        <f>capacidad!$B$8</f>
        <v>83.984029619805483</v>
      </c>
      <c r="D14" s="128">
        <f>capacidad!$B$9</f>
        <v>79.092994161801499</v>
      </c>
      <c r="E14" s="129">
        <f>capacidad!$B$10</f>
        <v>78.466559184522566</v>
      </c>
      <c r="F14" s="129">
        <f>capacidad!$B$11</f>
        <v>79.375390056168101</v>
      </c>
      <c r="G14" s="129">
        <f>capacidad!$B$12</f>
        <v>74.391428295322768</v>
      </c>
      <c r="H14" s="129">
        <f>capacidad!$B$13</f>
        <v>75.085725293777699</v>
      </c>
      <c r="I14" s="129">
        <f>capacidad!$B$14</f>
        <v>73.271848819497336</v>
      </c>
    </row>
    <row r="15" spans="1:9" ht="30" customHeight="1" x14ac:dyDescent="0.3">
      <c r="A15" s="104">
        <v>6</v>
      </c>
      <c r="B15" s="70" t="s">
        <v>161</v>
      </c>
      <c r="C15" s="117">
        <f>abandono!$B$8</f>
        <v>18.967869329268495</v>
      </c>
      <c r="D15" s="117">
        <f>abandono!$B$9</f>
        <v>18.128670362389165</v>
      </c>
      <c r="E15" s="118">
        <f>abandono!$B$10</f>
        <v>17.534534574117522</v>
      </c>
      <c r="F15" s="118">
        <f>abandono!$B$11</f>
        <v>17.855118955695261</v>
      </c>
      <c r="G15" s="118">
        <f>abandono!$B$12</f>
        <v>18.622029445103294</v>
      </c>
      <c r="H15" s="118">
        <f>abandono!$B$13</f>
        <v>17.601917374911103</v>
      </c>
      <c r="I15" s="118">
        <f>abandono!$B$14</f>
        <v>16.319880955435263</v>
      </c>
    </row>
    <row r="16" spans="1:9" ht="30" customHeight="1" x14ac:dyDescent="0.3">
      <c r="A16" s="105">
        <v>7</v>
      </c>
      <c r="B16" s="23" t="s">
        <v>162</v>
      </c>
      <c r="C16" s="128">
        <f>reprobacion!$B$8</f>
        <v>26.106167031303979</v>
      </c>
      <c r="D16" s="128">
        <f>reprobacion!$B$9</f>
        <v>26.683890016608231</v>
      </c>
      <c r="E16" s="129">
        <f>reprobacion!$B$10</f>
        <v>28.235531945213104</v>
      </c>
      <c r="F16" s="129">
        <f>reprobacion!$B$11</f>
        <v>42.124057317704413</v>
      </c>
      <c r="G16" s="129">
        <f>reprobacion!$B$12</f>
        <v>29.91384153727742</v>
      </c>
      <c r="H16" s="129">
        <f>reprobacion!$B$13</f>
        <v>40.422236190573926</v>
      </c>
      <c r="I16" s="129">
        <f>reprobacion!$B$14</f>
        <v>38.245105713979449</v>
      </c>
    </row>
    <row r="17" spans="1:9" ht="30" customHeight="1" x14ac:dyDescent="0.3">
      <c r="A17" s="104">
        <v>8</v>
      </c>
      <c r="B17" s="70" t="s">
        <v>259</v>
      </c>
      <c r="C17" s="128"/>
      <c r="D17" s="128"/>
      <c r="E17" s="129"/>
      <c r="F17" s="129"/>
      <c r="G17" s="129">
        <f>tasaegreso!$B$12</f>
        <v>54.005089867981546</v>
      </c>
      <c r="H17" s="129">
        <f>tasaegreso!$B$13</f>
        <v>54.439697246091569</v>
      </c>
      <c r="I17" s="129">
        <f>tasaegreso!$B$14</f>
        <v>54.238551133142174</v>
      </c>
    </row>
    <row r="18" spans="1:9" ht="30" customHeight="1" x14ac:dyDescent="0.3">
      <c r="A18" s="105">
        <v>9</v>
      </c>
      <c r="B18" s="23" t="s">
        <v>260</v>
      </c>
      <c r="C18" s="128">
        <f>titulacion!$B$8</f>
        <v>89.205669382792223</v>
      </c>
      <c r="D18" s="128">
        <f>titulacion!$B$9</f>
        <v>88.165320830077277</v>
      </c>
      <c r="E18" s="129">
        <f>titulacion!$B$10</f>
        <v>88.867786705624539</v>
      </c>
      <c r="F18" s="129">
        <f>titulacion!$B$11</f>
        <v>88.360747601938229</v>
      </c>
      <c r="G18" s="129">
        <f>titulacion!$B$12</f>
        <v>87.228016175772353</v>
      </c>
      <c r="H18" s="129">
        <f>titulacion!$B$13</f>
        <v>85.722144428885784</v>
      </c>
      <c r="I18" s="129">
        <f>titulacion!$B$14</f>
        <v>84.02268009922544</v>
      </c>
    </row>
    <row r="19" spans="1:9" ht="30" customHeight="1" x14ac:dyDescent="0.3">
      <c r="A19" s="106">
        <v>10</v>
      </c>
      <c r="B19" s="69" t="s">
        <v>163</v>
      </c>
      <c r="C19" s="125">
        <f>costo!$B$8</f>
        <v>13384.843266333244</v>
      </c>
      <c r="D19" s="125">
        <f>costo!$B$9</f>
        <v>14177.484265094292</v>
      </c>
      <c r="E19" s="107">
        <f>costo!$B$10</f>
        <v>14605.713034552999</v>
      </c>
      <c r="F19" s="107">
        <f>costo!$B$11</f>
        <v>14927.329292023918</v>
      </c>
      <c r="G19" s="107">
        <f>costo!$B$12</f>
        <v>16284.499202522724</v>
      </c>
      <c r="H19" s="107">
        <f>costo!$B$13</f>
        <v>16537.446855485287</v>
      </c>
      <c r="I19" s="107">
        <f>costo!$B$14</f>
        <v>17596.600771310892</v>
      </c>
    </row>
    <row r="20" spans="1:9" s="19" customFormat="1" ht="30" customHeight="1" x14ac:dyDescent="0.3">
      <c r="A20" s="105">
        <v>11</v>
      </c>
      <c r="B20" s="23" t="s">
        <v>35</v>
      </c>
      <c r="C20" s="128">
        <f>adocente!$B$8</f>
        <v>19.067498902201869</v>
      </c>
      <c r="D20" s="128">
        <f>adocente!$B$9</f>
        <v>18.855722629551387</v>
      </c>
      <c r="E20" s="129">
        <f>adocente!$B$10</f>
        <v>18.850012493753123</v>
      </c>
      <c r="F20" s="129">
        <f>adocente!$B$11</f>
        <v>19.428807841639614</v>
      </c>
      <c r="G20" s="129">
        <f>adocente!$B$12</f>
        <v>19.605310072583727</v>
      </c>
      <c r="H20" s="129">
        <f>adocente!$B$13</f>
        <v>19.909079300217087</v>
      </c>
      <c r="I20" s="129">
        <f>adocente!$B$14</f>
        <v>19.570211683936176</v>
      </c>
    </row>
    <row r="21" spans="1:9" ht="30" customHeight="1" x14ac:dyDescent="0.3">
      <c r="A21" s="106">
        <v>12</v>
      </c>
      <c r="B21" s="69" t="s">
        <v>164</v>
      </c>
      <c r="C21" s="128">
        <f>becas!$B$8</f>
        <v>16.412297873040419</v>
      </c>
      <c r="D21" s="128">
        <f>becas!$B$9</f>
        <v>17.919753249149817</v>
      </c>
      <c r="E21" s="129">
        <f>becas!$B$10</f>
        <v>6.2766983373708785</v>
      </c>
      <c r="F21" s="129">
        <f>becas!$B$11</f>
        <v>5.857243010555421</v>
      </c>
      <c r="G21" s="129">
        <f>becas!$B$12</f>
        <v>4.7148456909402086</v>
      </c>
      <c r="H21" s="129">
        <f>becas!$B$13</f>
        <v>5.4205044000307874</v>
      </c>
      <c r="I21" s="129">
        <f>becas!$B$14</f>
        <v>3.3164533114185395</v>
      </c>
    </row>
    <row r="22" spans="1:9" ht="30" customHeight="1" x14ac:dyDescent="0.3">
      <c r="A22" s="105">
        <v>13</v>
      </c>
      <c r="B22" s="23" t="s">
        <v>255</v>
      </c>
      <c r="C22" s="128">
        <f>alupc!$B$8</f>
        <v>10.831551564393129</v>
      </c>
      <c r="D22" s="128">
        <f>alupc!$B$9</f>
        <v>10.481262736158602</v>
      </c>
      <c r="E22" s="129">
        <f>alupc!$B$10</f>
        <v>10.38479540214062</v>
      </c>
      <c r="F22" s="129">
        <f>alupc!$B$11</f>
        <v>10.505076229479988</v>
      </c>
      <c r="G22" s="129">
        <f>alupc!$B$12</f>
        <v>9.6645114717052198</v>
      </c>
      <c r="H22" s="129">
        <f>alupc!$B$13</f>
        <v>9.7867612441542953</v>
      </c>
      <c r="I22" s="129">
        <f>alupc!$B$14</f>
        <v>9.6625655189730395</v>
      </c>
    </row>
    <row r="23" spans="1:9" ht="30" customHeight="1" x14ac:dyDescent="0.3">
      <c r="A23" s="106">
        <v>14</v>
      </c>
      <c r="B23" s="69" t="s">
        <v>256</v>
      </c>
      <c r="C23" s="128">
        <f>admpc!$B$8</f>
        <v>1.6325742956387495</v>
      </c>
      <c r="D23" s="128">
        <f>admpc!$B$9</f>
        <v>1.1191616766467065</v>
      </c>
      <c r="E23" s="129">
        <f>admpc!$B$10</f>
        <v>1.244846389147493</v>
      </c>
      <c r="F23" s="129">
        <f>admpc!$B$11</f>
        <v>1.244846389147493</v>
      </c>
      <c r="G23" s="129">
        <f>admpc!$B$12</f>
        <v>1.2307692307692308</v>
      </c>
      <c r="H23" s="129">
        <f>admpc!$B$13</f>
        <v>1.2307692307692308</v>
      </c>
      <c r="I23" s="129">
        <f>admpc!$B$14</f>
        <v>1.2307692307692308</v>
      </c>
    </row>
    <row r="24" spans="1:9" ht="30" customHeight="1" x14ac:dyDescent="0.3">
      <c r="A24" s="105">
        <v>15</v>
      </c>
      <c r="B24" s="23" t="s">
        <v>36</v>
      </c>
      <c r="C24" s="125">
        <f>capacitacion!$B$8</f>
        <v>416393</v>
      </c>
      <c r="D24" s="125">
        <f>capacitacion!$B$9</f>
        <v>321889</v>
      </c>
      <c r="E24" s="107">
        <f>capacitacion!$B$10</f>
        <v>226675</v>
      </c>
      <c r="F24" s="107">
        <f>capacitacion!$B$11</f>
        <v>146615</v>
      </c>
      <c r="G24" s="107">
        <f>capacitacion!$B$12</f>
        <v>142971</v>
      </c>
      <c r="H24" s="107">
        <f>capacitacion!$B$13</f>
        <v>167725</v>
      </c>
      <c r="I24" s="107">
        <f>capacitacion!$B$14</f>
        <v>164018</v>
      </c>
    </row>
    <row r="25" spans="1:9" ht="30" customHeight="1" x14ac:dyDescent="0.3">
      <c r="A25" s="104">
        <v>16</v>
      </c>
      <c r="B25" s="70" t="s">
        <v>38</v>
      </c>
      <c r="C25" s="125">
        <f>servtec!$B$8</f>
        <v>16953</v>
      </c>
      <c r="D25" s="125">
        <f>servtec!$B$9</f>
        <v>14474</v>
      </c>
      <c r="E25" s="107">
        <f>servtec!$B$10</f>
        <v>15371</v>
      </c>
      <c r="F25" s="107">
        <f>servtec!$B$11</f>
        <v>14532</v>
      </c>
      <c r="G25" s="107">
        <f>servtec!$B$12</f>
        <v>14606</v>
      </c>
      <c r="H25" s="107">
        <f>servtec!$B$13</f>
        <v>16625</v>
      </c>
      <c r="I25" s="107">
        <f>servtec!$B$14</f>
        <v>20186</v>
      </c>
    </row>
    <row r="26" spans="1:9" ht="30" customHeight="1" x14ac:dyDescent="0.3">
      <c r="A26" s="108">
        <v>17</v>
      </c>
      <c r="B26" s="24" t="s">
        <v>44</v>
      </c>
      <c r="C26" s="125"/>
      <c r="D26" s="125">
        <f>certificacion!$B$9</f>
        <v>68182</v>
      </c>
      <c r="E26" s="107">
        <f>certificacion!$B$10</f>
        <v>70549</v>
      </c>
      <c r="F26" s="107">
        <f>certificacion!$B$11</f>
        <v>64633</v>
      </c>
      <c r="G26" s="107">
        <f>certificacion!$B$12</f>
        <v>74753</v>
      </c>
      <c r="H26" s="107">
        <f>certificacion!$B$13</f>
        <v>121394</v>
      </c>
      <c r="I26" s="107">
        <f>certificacion!$B$14</f>
        <v>163434</v>
      </c>
    </row>
    <row r="27" spans="1:9" ht="30" customHeight="1" x14ac:dyDescent="0.3">
      <c r="A27" s="109">
        <v>18</v>
      </c>
      <c r="B27" s="25" t="s">
        <v>165</v>
      </c>
      <c r="C27" s="128">
        <f>bexterno!$B$8</f>
        <v>2.0137849352700234</v>
      </c>
      <c r="D27" s="128">
        <f>bexterno!$B$9</f>
        <v>9.6996678353939831</v>
      </c>
      <c r="E27" s="129">
        <f>bexterno!$B$10</f>
        <v>6.319448817071029</v>
      </c>
      <c r="F27" s="129">
        <f>bexterno!$B$11</f>
        <v>3.451314677342209</v>
      </c>
      <c r="G27" s="129">
        <f>bexterno!$B$12</f>
        <v>3.4245796811519837</v>
      </c>
      <c r="H27" s="129">
        <f>bexterno!$B$13</f>
        <v>3.4202863227031326</v>
      </c>
      <c r="I27" s="129">
        <f>bexterno!$B$14</f>
        <v>3.9060089196677703</v>
      </c>
    </row>
    <row r="28" spans="1:9" ht="30" customHeight="1" x14ac:dyDescent="0.3">
      <c r="A28" s="105">
        <v>19</v>
      </c>
      <c r="B28" s="23" t="s">
        <v>242</v>
      </c>
      <c r="C28" s="128">
        <f>PCSINEMS!$B$8</f>
        <v>0</v>
      </c>
      <c r="D28" s="128">
        <f>PCSINEMS!$B$9</f>
        <v>43.151741227954545</v>
      </c>
      <c r="E28" s="129">
        <f>PCSINEMS!$B$10</f>
        <v>68.939989832183528</v>
      </c>
      <c r="F28" s="129">
        <f>PCSINEMS!$B$11</f>
        <v>80.631189663419008</v>
      </c>
      <c r="G28" s="129">
        <f>PCSINEMS!$B$12</f>
        <v>82.694934739754672</v>
      </c>
      <c r="H28" s="129">
        <f>PCSINEMS!$B$13</f>
        <v>85.322276278317986</v>
      </c>
      <c r="I28" s="129">
        <f>PCSINEMS!$B$14</f>
        <v>88.427034356637279</v>
      </c>
    </row>
    <row r="29" spans="1:9" ht="9" customHeight="1" x14ac:dyDescent="0.3">
      <c r="A29" s="26"/>
      <c r="B29" s="27"/>
      <c r="C29" s="28"/>
      <c r="D29" s="29"/>
      <c r="E29" s="30"/>
      <c r="F29" s="30"/>
      <c r="G29" s="30"/>
      <c r="H29" s="30"/>
      <c r="I29" s="30"/>
    </row>
    <row r="30" spans="1:9" ht="15" customHeight="1" x14ac:dyDescent="0.3">
      <c r="A30" s="122" t="s">
        <v>152</v>
      </c>
      <c r="B30" s="123"/>
      <c r="C30" s="123"/>
      <c r="D30" s="123"/>
      <c r="E30" s="123"/>
      <c r="F30" s="123"/>
      <c r="G30" s="123"/>
      <c r="H30" s="123"/>
      <c r="I30" s="124"/>
    </row>
    <row r="31" spans="1:9" ht="35.1" customHeight="1" x14ac:dyDescent="0.3">
      <c r="A31" s="31">
        <v>20</v>
      </c>
      <c r="B31" s="32" t="s">
        <v>153</v>
      </c>
      <c r="C31" s="128">
        <f>cd!$D$10</f>
        <v>17.682347789206542</v>
      </c>
      <c r="D31" s="128">
        <f>cd!$D$11</f>
        <v>18.127507917699237</v>
      </c>
      <c r="E31" s="128">
        <f>cd!$D$12</f>
        <v>19.878181004737375</v>
      </c>
      <c r="F31" s="128">
        <f>cd!$D$13</f>
        <v>20.941874363651749</v>
      </c>
      <c r="G31" s="128">
        <f>cd!$D$14</f>
        <v>21.49680097068833</v>
      </c>
      <c r="H31" s="128">
        <f>cd!$D$15</f>
        <v>23.073848681504412</v>
      </c>
      <c r="I31" s="128">
        <f>cd!$D$16</f>
        <v>23.30325947810552</v>
      </c>
    </row>
    <row r="32" spans="1:9" ht="35.1" customHeight="1" x14ac:dyDescent="0.3">
      <c r="A32" s="33">
        <v>21</v>
      </c>
      <c r="B32" s="34" t="s">
        <v>154</v>
      </c>
      <c r="C32" s="128">
        <f>eprt!$D$10</f>
        <v>99.467624635925489</v>
      </c>
      <c r="D32" s="128">
        <f>eprt!$D$11</f>
        <v>98.657453932098761</v>
      </c>
      <c r="E32" s="128">
        <f>eprt!$D$12</f>
        <v>99.772804691389112</v>
      </c>
      <c r="F32" s="128">
        <f>eprt!$D$13</f>
        <v>100.34404027762605</v>
      </c>
      <c r="G32" s="128">
        <f>eprt!$D$14</f>
        <v>99.820130835775117</v>
      </c>
      <c r="H32" s="128">
        <f>eprt!$D$15</f>
        <v>99.630689254117641</v>
      </c>
      <c r="I32" s="128">
        <f>eprt!$D$16</f>
        <v>99.704010823880751</v>
      </c>
    </row>
    <row r="33" spans="1:9" ht="39" customHeight="1" x14ac:dyDescent="0.3">
      <c r="A33" s="31">
        <v>22</v>
      </c>
      <c r="B33" s="32" t="s">
        <v>155</v>
      </c>
      <c r="C33" s="128">
        <f>epr!$D$10</f>
        <v>100</v>
      </c>
      <c r="D33" s="128">
        <f>epr!$D$11</f>
        <v>100</v>
      </c>
      <c r="E33" s="128">
        <f>epr!$D$12</f>
        <v>100</v>
      </c>
      <c r="F33" s="128">
        <f>epr!$D$13</f>
        <v>100</v>
      </c>
      <c r="G33" s="128">
        <f>epr!$D$14</f>
        <v>99.905234749040858</v>
      </c>
      <c r="H33" s="128">
        <f>epr!$D$15</f>
        <v>100</v>
      </c>
      <c r="I33" s="128">
        <f>epr!$D$16</f>
        <v>100</v>
      </c>
    </row>
    <row r="34" spans="1:9" ht="41.25" customHeight="1" x14ac:dyDescent="0.3">
      <c r="A34" s="33">
        <v>23</v>
      </c>
      <c r="B34" s="34" t="s">
        <v>156</v>
      </c>
      <c r="C34" s="128">
        <f>egc!$D$10</f>
        <v>99.648395535913167</v>
      </c>
      <c r="D34" s="128">
        <f>egc!$D$11</f>
        <v>98.654059719913676</v>
      </c>
      <c r="E34" s="128">
        <f>egc!$D$12</f>
        <v>99.792452143476311</v>
      </c>
      <c r="F34" s="128">
        <f>egc!$D$13</f>
        <v>100.34910018620764</v>
      </c>
      <c r="G34" s="128">
        <f>egc!$D$14</f>
        <v>99.814343315684113</v>
      </c>
      <c r="H34" s="128">
        <f>egc!$D$15</f>
        <v>99.616426541626751</v>
      </c>
      <c r="I34" s="128">
        <f>egc!$D$16</f>
        <v>99.70333752450091</v>
      </c>
    </row>
    <row r="35" spans="1:9" ht="40.5" customHeight="1" x14ac:dyDescent="0.3">
      <c r="A35" s="31">
        <v>24</v>
      </c>
      <c r="B35" s="32" t="s">
        <v>157</v>
      </c>
      <c r="C35" s="128">
        <f>egi!$D$10</f>
        <v>97.417434959659317</v>
      </c>
      <c r="D35" s="128">
        <f>egi!$D$11</f>
        <v>98.733262188709816</v>
      </c>
      <c r="E35" s="128">
        <f>egi!$D$12</f>
        <v>97.6379164422559</v>
      </c>
      <c r="F35" s="128">
        <f>egi!$D$13</f>
        <v>100</v>
      </c>
      <c r="G35" s="128">
        <f>egi!$D$14</f>
        <v>99.999981063770065</v>
      </c>
      <c r="H35" s="128">
        <f>egi!$D$15</f>
        <v>100</v>
      </c>
      <c r="I35" s="128">
        <f>egi!$D$16</f>
        <v>100</v>
      </c>
    </row>
    <row r="36" spans="1:9" ht="35.1" customHeight="1" x14ac:dyDescent="0.3">
      <c r="A36" s="33">
        <v>25</v>
      </c>
      <c r="B36" s="34" t="s">
        <v>158</v>
      </c>
      <c r="C36" s="128">
        <f>auto!$D$10</f>
        <v>7.8644439590956221</v>
      </c>
      <c r="D36" s="128">
        <f>auto!$D$11</f>
        <v>6.6311610866060953</v>
      </c>
      <c r="E36" s="128">
        <f>auto!$D$12</f>
        <v>7.8594236304997276</v>
      </c>
      <c r="F36" s="128">
        <f>auto!$D$13</f>
        <v>5.0274186477569014</v>
      </c>
      <c r="G36" s="128">
        <f>auto!$D$14</f>
        <v>3.3614677993939073</v>
      </c>
      <c r="H36" s="128">
        <f>auto!$D$15</f>
        <v>3.1074272824482243</v>
      </c>
      <c r="I36" s="128">
        <f>auto!$D$16</f>
        <v>3.1875059663788745</v>
      </c>
    </row>
    <row r="37" spans="1:9" ht="35.1" customHeight="1" x14ac:dyDescent="0.3">
      <c r="A37" s="31">
        <v>26</v>
      </c>
      <c r="B37" s="32" t="s">
        <v>159</v>
      </c>
      <c r="C37" s="128">
        <f>capip!$D$10</f>
        <v>93.458074368426665</v>
      </c>
      <c r="D37" s="128">
        <f>capip!$D$11</f>
        <v>95.801702151440836</v>
      </c>
      <c r="E37" s="128">
        <f>capip!$D$12</f>
        <v>91.48573913043478</v>
      </c>
      <c r="F37" s="128">
        <f>capip!$D$13</f>
        <v>90.388805970149249</v>
      </c>
      <c r="G37" s="128">
        <f>capip!$D$14</f>
        <v>98.359805714285713</v>
      </c>
      <c r="H37" s="128">
        <f>capip!$D$15</f>
        <v>89.967932727272725</v>
      </c>
      <c r="I37" s="128">
        <f>capip!$D$16</f>
        <v>91.942881818181817</v>
      </c>
    </row>
    <row r="38" spans="1:9" ht="45" customHeight="1" x14ac:dyDescent="0.3">
      <c r="A38" s="33">
        <v>27</v>
      </c>
      <c r="B38" s="34" t="s">
        <v>160</v>
      </c>
      <c r="C38" s="128">
        <f>cnpr!$D$10</f>
        <v>99.467624635925489</v>
      </c>
      <c r="D38" s="128">
        <f>cnpr!$D$11</f>
        <v>98.657453932098761</v>
      </c>
      <c r="E38" s="128">
        <f>cnpr!$D$12</f>
        <v>99.772804691389112</v>
      </c>
      <c r="F38" s="128">
        <f>cnpr!$D$13</f>
        <v>100.34404027762605</v>
      </c>
      <c r="G38" s="128">
        <f>cnpr!$D$14</f>
        <v>99.820130835775117</v>
      </c>
      <c r="H38" s="128">
        <f>cnpr!$D$15</f>
        <v>99.630716245908175</v>
      </c>
      <c r="I38" s="128">
        <f>cnpr!$D$16</f>
        <v>99.704020924255317</v>
      </c>
    </row>
    <row r="39" spans="1:9" ht="18" x14ac:dyDescent="0.35">
      <c r="A39" s="178" t="s">
        <v>257</v>
      </c>
      <c r="B39" s="21"/>
      <c r="C39" s="20"/>
      <c r="D39" s="20"/>
      <c r="E39" s="20"/>
      <c r="F39" s="20"/>
      <c r="G39" s="20"/>
      <c r="H39" s="20"/>
      <c r="I39" s="20"/>
    </row>
  </sheetData>
  <printOptions horizontalCentered="1"/>
  <pageMargins left="0.31496062992125984" right="0.31496062992125984" top="0.55118110236220474" bottom="0.55118110236220474" header="0.31496062992125984" footer="0.31496062992125984"/>
  <pageSetup orientation="portrait" r:id="rId1"/>
  <headerFooter>
    <oddFooter>&amp;C&amp;"Montserrat,Normal"&amp;8Página &amp;P</oddFooter>
  </headerFooter>
  <rowBreaks count="1" manualBreakCount="1">
    <brk id="28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247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51" customFormat="1" ht="30" x14ac:dyDescent="0.3">
      <c r="A8" s="171" t="s">
        <v>45</v>
      </c>
      <c r="B8" s="172" t="s">
        <v>248</v>
      </c>
      <c r="C8" s="172" t="s">
        <v>249</v>
      </c>
      <c r="D8" s="172" t="s">
        <v>250</v>
      </c>
      <c r="E8" s="173"/>
      <c r="F8" s="152"/>
      <c r="G8" s="152"/>
      <c r="H8" s="152"/>
      <c r="I8" s="152"/>
      <c r="J8" s="152"/>
      <c r="K8" s="152"/>
    </row>
    <row r="9" spans="1:11" ht="15.75" hidden="1" x14ac:dyDescent="0.3">
      <c r="A9" s="139" t="s">
        <v>39</v>
      </c>
      <c r="B9" s="157"/>
      <c r="C9" s="157"/>
      <c r="D9" s="157"/>
      <c r="E9" s="4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121799</v>
      </c>
      <c r="C10" s="157">
        <v>113831</v>
      </c>
      <c r="D10" s="157">
        <v>93.458074368426665</v>
      </c>
      <c r="E10" s="4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118097.60000000001</v>
      </c>
      <c r="C11" s="157">
        <v>113139.511</v>
      </c>
      <c r="D11" s="157">
        <v>95.801702151440836</v>
      </c>
      <c r="E11" s="4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115000</v>
      </c>
      <c r="C12" s="157">
        <v>105208.6</v>
      </c>
      <c r="D12" s="157">
        <v>91.48573913043478</v>
      </c>
      <c r="E12" s="4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67000</v>
      </c>
      <c r="C13" s="157">
        <v>60560.5</v>
      </c>
      <c r="D13" s="157">
        <v>90.388805970149249</v>
      </c>
      <c r="E13" s="4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52500</v>
      </c>
      <c r="C14" s="157">
        <v>51638.898000000001</v>
      </c>
      <c r="D14" s="157">
        <v>98.359805714285713</v>
      </c>
      <c r="E14" s="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55000</v>
      </c>
      <c r="C15" s="157">
        <v>49482.362999999998</v>
      </c>
      <c r="D15" s="157">
        <v>89.967932727272725</v>
      </c>
      <c r="E15" s="4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55000</v>
      </c>
      <c r="C16" s="157">
        <v>50568.584999999999</v>
      </c>
      <c r="D16" s="157">
        <v>91.942881818181817</v>
      </c>
      <c r="E16" s="4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0</v>
      </c>
      <c r="C18" s="158">
        <f t="shared" ref="C18" si="0">C16-C15</f>
        <v>1086.2220000000016</v>
      </c>
      <c r="D18" s="158">
        <f>D16-D15</f>
        <v>1.9749490909090923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Ingresos Propios Programados</v>
      </c>
      <c r="C20" s="4" t="str">
        <f t="shared" si="1"/>
        <v>Ingresos Propios captados</v>
      </c>
      <c r="D20" s="168" t="str">
        <f t="shared" si="1"/>
        <v>Captación de Ingresos Propios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121799</v>
      </c>
      <c r="C21" s="4">
        <f t="shared" si="2"/>
        <v>113831</v>
      </c>
      <c r="D21" s="4">
        <f t="shared" si="2"/>
        <v>93.458074368426665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118097.60000000001</v>
      </c>
      <c r="C22" s="4">
        <f t="shared" si="2"/>
        <v>113139.511</v>
      </c>
      <c r="D22" s="4">
        <f t="shared" si="2"/>
        <v>95.801702151440836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115000</v>
      </c>
      <c r="C23" s="4">
        <f t="shared" si="2"/>
        <v>105208.6</v>
      </c>
      <c r="D23" s="4">
        <f t="shared" si="2"/>
        <v>91.48573913043478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67000</v>
      </c>
      <c r="C24" s="4">
        <f t="shared" si="2"/>
        <v>60560.5</v>
      </c>
      <c r="D24" s="4">
        <f t="shared" si="2"/>
        <v>90.388805970149249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52500</v>
      </c>
      <c r="C25" s="4">
        <f t="shared" si="2"/>
        <v>51638.898000000001</v>
      </c>
      <c r="D25" s="4">
        <f t="shared" si="2"/>
        <v>98.359805714285713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55000</v>
      </c>
      <c r="C26" s="4">
        <f t="shared" si="2"/>
        <v>49482.362999999998</v>
      </c>
      <c r="D26" s="4">
        <f t="shared" si="2"/>
        <v>89.967932727272725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55000</v>
      </c>
      <c r="C27" s="4">
        <f t="shared" si="3"/>
        <v>50568.584999999999</v>
      </c>
      <c r="D27" s="4">
        <f t="shared" si="3"/>
        <v>91.942881818181817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4" width="23.140625" style="56" customWidth="1"/>
    <col min="5" max="5" width="11.5703125" style="56" bestFit="1" customWidth="1"/>
    <col min="6" max="6" width="15.140625" style="56" bestFit="1" customWidth="1"/>
    <col min="7" max="7" width="11.5703125" style="56" bestFit="1" customWidth="1"/>
    <col min="8" max="8" width="15.140625" style="56" bestFit="1" customWidth="1"/>
    <col min="9" max="9" width="11.5703125" style="56" bestFit="1" customWidth="1"/>
    <col min="10" max="10" width="20.140625" style="56" bestFit="1" customWidth="1"/>
    <col min="11" max="11" width="16.5703125" style="56" bestFit="1" customWidth="1"/>
    <col min="12" max="16384" width="11.42578125" style="56"/>
  </cols>
  <sheetData>
    <row r="1" spans="1:11" s="4" customFormat="1" ht="15" customHeight="1" x14ac:dyDescent="0.25">
      <c r="B1" s="1"/>
      <c r="C1" s="1"/>
      <c r="D1" s="73" t="s">
        <v>48</v>
      </c>
    </row>
    <row r="2" spans="1:11" s="4" customFormat="1" ht="15" customHeight="1" x14ac:dyDescent="0.25">
      <c r="B2" s="1"/>
      <c r="C2" s="1"/>
      <c r="D2" s="8" t="s">
        <v>42</v>
      </c>
    </row>
    <row r="3" spans="1:11" s="4" customFormat="1" ht="15" customHeight="1" x14ac:dyDescent="0.25">
      <c r="B3" s="1"/>
      <c r="C3" s="1"/>
      <c r="D3" s="1"/>
    </row>
    <row r="4" spans="1:11" s="4" customFormat="1" ht="12.75" customHeight="1" x14ac:dyDescent="0.25">
      <c r="B4" s="1"/>
      <c r="C4" s="1"/>
      <c r="D4" s="1"/>
    </row>
    <row r="5" spans="1:11" s="4" customFormat="1" ht="23.25" customHeight="1" x14ac:dyDescent="0.25">
      <c r="A5" s="90" t="s">
        <v>251</v>
      </c>
      <c r="B5" s="90"/>
      <c r="C5" s="90"/>
      <c r="D5" s="90"/>
    </row>
    <row r="6" spans="1:11" s="4" customFormat="1" ht="25.5" customHeight="1" x14ac:dyDescent="0.25">
      <c r="A6" s="156" t="s">
        <v>218</v>
      </c>
      <c r="C6" s="74"/>
      <c r="D6" s="74"/>
    </row>
    <row r="7" spans="1:11" s="4" customFormat="1" ht="12.75" customHeight="1" x14ac:dyDescent="0.35">
      <c r="A7" s="80"/>
      <c r="B7" s="230"/>
      <c r="C7" s="230"/>
      <c r="D7" s="230"/>
    </row>
    <row r="8" spans="1:11" s="151" customFormat="1" ht="45" x14ac:dyDescent="0.3">
      <c r="A8" s="171" t="s">
        <v>45</v>
      </c>
      <c r="B8" s="172" t="s">
        <v>252</v>
      </c>
      <c r="C8" s="172" t="s">
        <v>254</v>
      </c>
      <c r="D8" s="172" t="s">
        <v>253</v>
      </c>
      <c r="E8" s="173"/>
      <c r="F8" s="152"/>
      <c r="G8" s="152"/>
      <c r="H8" s="152"/>
      <c r="I8" s="152"/>
      <c r="J8" s="152"/>
      <c r="K8" s="152"/>
    </row>
    <row r="9" spans="1:11" ht="15.75" hidden="1" x14ac:dyDescent="0.3">
      <c r="A9" s="139" t="s">
        <v>39</v>
      </c>
      <c r="B9" s="157"/>
      <c r="C9" s="157"/>
      <c r="D9" s="163"/>
      <c r="E9" s="4"/>
      <c r="F9" s="4"/>
      <c r="G9" s="4"/>
      <c r="H9" s="4"/>
      <c r="I9" s="4"/>
      <c r="J9" s="4"/>
      <c r="K9" s="4"/>
    </row>
    <row r="10" spans="1:11" ht="15.75" x14ac:dyDescent="0.3">
      <c r="A10" s="160">
        <v>2012</v>
      </c>
      <c r="B10" s="157">
        <v>1457806</v>
      </c>
      <c r="C10" s="157">
        <v>1450045</v>
      </c>
      <c r="D10" s="163">
        <v>99.467624635925489</v>
      </c>
      <c r="E10" s="4"/>
      <c r="F10" s="4"/>
      <c r="G10" s="4"/>
      <c r="H10" s="4"/>
      <c r="I10" s="4"/>
      <c r="J10" s="4"/>
      <c r="K10" s="4"/>
    </row>
    <row r="11" spans="1:11" ht="15.75" x14ac:dyDescent="0.3">
      <c r="A11" s="161">
        <v>2013</v>
      </c>
      <c r="B11" s="157">
        <v>1497810.8</v>
      </c>
      <c r="C11" s="157">
        <v>1477702</v>
      </c>
      <c r="D11" s="163">
        <v>98.657453932098761</v>
      </c>
      <c r="E11" s="4"/>
      <c r="F11" s="4"/>
      <c r="G11" s="4"/>
      <c r="H11" s="4"/>
      <c r="I11" s="4"/>
      <c r="J11" s="4"/>
      <c r="K11" s="4"/>
    </row>
    <row r="12" spans="1:11" ht="15.75" x14ac:dyDescent="0.3">
      <c r="A12" s="161">
        <v>2014</v>
      </c>
      <c r="B12" s="157">
        <v>1425249.5</v>
      </c>
      <c r="C12" s="157">
        <v>1422011.4</v>
      </c>
      <c r="D12" s="163">
        <v>99.772804691389112</v>
      </c>
      <c r="E12" s="4"/>
      <c r="F12" s="4"/>
      <c r="G12" s="4"/>
      <c r="H12" s="4"/>
      <c r="I12" s="4"/>
      <c r="J12" s="4"/>
      <c r="K12" s="4"/>
    </row>
    <row r="13" spans="1:11" ht="15.75" x14ac:dyDescent="0.3">
      <c r="A13" s="161">
        <v>2015</v>
      </c>
      <c r="B13" s="157">
        <v>1425327.2999999998</v>
      </c>
      <c r="C13" s="157">
        <v>1430230.9999999998</v>
      </c>
      <c r="D13" s="163">
        <v>100.34404027762605</v>
      </c>
      <c r="E13" s="4"/>
      <c r="F13" s="4"/>
      <c r="G13" s="4"/>
      <c r="H13" s="4"/>
      <c r="I13" s="4"/>
      <c r="J13" s="4"/>
      <c r="K13" s="4"/>
    </row>
    <row r="14" spans="1:11" ht="15.75" x14ac:dyDescent="0.3">
      <c r="A14" s="161">
        <v>2016</v>
      </c>
      <c r="B14" s="157">
        <v>1524483.65</v>
      </c>
      <c r="C14" s="157">
        <v>1521741.574</v>
      </c>
      <c r="D14" s="163">
        <v>99.820130835775117</v>
      </c>
      <c r="E14" s="4"/>
      <c r="F14" s="4"/>
      <c r="G14" s="4"/>
      <c r="H14" s="4"/>
      <c r="I14" s="4"/>
      <c r="J14" s="4"/>
      <c r="K14" s="4"/>
    </row>
    <row r="15" spans="1:11" ht="15.75" x14ac:dyDescent="0.3">
      <c r="A15" s="161">
        <v>2017</v>
      </c>
      <c r="B15" s="157">
        <v>1587193.57</v>
      </c>
      <c r="C15" s="157">
        <v>1581332.3219999999</v>
      </c>
      <c r="D15" s="163">
        <v>99.630716245908175</v>
      </c>
      <c r="E15" s="4"/>
      <c r="F15" s="4"/>
      <c r="G15" s="4"/>
      <c r="H15" s="4"/>
      <c r="I15" s="4"/>
      <c r="J15" s="4"/>
      <c r="K15" s="4"/>
    </row>
    <row r="16" spans="1:11" ht="15.75" x14ac:dyDescent="0.3">
      <c r="A16" s="161">
        <v>2018</v>
      </c>
      <c r="B16" s="157">
        <v>1583166.3060000001</v>
      </c>
      <c r="C16" s="157">
        <v>1578480.4650000001</v>
      </c>
      <c r="D16" s="163">
        <v>99.704020924255317</v>
      </c>
      <c r="E16" s="4"/>
      <c r="F16" s="4"/>
      <c r="G16" s="4"/>
      <c r="H16" s="4"/>
      <c r="I16" s="4"/>
      <c r="J16" s="4"/>
      <c r="K16" s="4"/>
    </row>
    <row r="17" spans="1:11" ht="12" customHeight="1" x14ac:dyDescent="0.25">
      <c r="A17" s="153"/>
      <c r="B17" s="153"/>
      <c r="C17" s="153"/>
      <c r="D17" s="155"/>
      <c r="E17" s="4"/>
      <c r="F17" s="4"/>
      <c r="G17" s="4"/>
      <c r="H17" s="4"/>
      <c r="I17" s="4"/>
      <c r="J17" s="4"/>
      <c r="K17" s="4"/>
    </row>
    <row r="18" spans="1:11" ht="20.25" customHeight="1" x14ac:dyDescent="0.3">
      <c r="A18" s="159" t="s">
        <v>47</v>
      </c>
      <c r="B18" s="158">
        <f>B16-B15</f>
        <v>-4027.2639999999665</v>
      </c>
      <c r="C18" s="158">
        <f t="shared" ref="C18" si="0">C16-C15</f>
        <v>-2851.8569999998435</v>
      </c>
      <c r="D18" s="158">
        <f>D16-D15</f>
        <v>7.3304678347142271E-2</v>
      </c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x14ac:dyDescent="0.25">
      <c r="A20" s="4" t="str">
        <f>A8</f>
        <v>Año</v>
      </c>
      <c r="B20" s="4" t="str">
        <f t="shared" ref="B20:D20" si="1">B8</f>
        <v>Presupuesto reprogramado (partidas restringidas)</v>
      </c>
      <c r="C20" s="4" t="str">
        <f t="shared" si="1"/>
        <v>Presupuesto Ejercido
(Partidas Restringidas)</v>
      </c>
      <c r="D20" s="168" t="str">
        <f t="shared" si="1"/>
        <v>Índice de Cumplimiento de Partidas Restringidas</v>
      </c>
      <c r="E20" s="4"/>
      <c r="F20" s="4"/>
      <c r="G20" s="4"/>
      <c r="H20" s="4"/>
      <c r="I20" s="4"/>
      <c r="J20" s="4"/>
      <c r="K20" s="4"/>
    </row>
    <row r="21" spans="1:11" ht="15" x14ac:dyDescent="0.25">
      <c r="A21" s="4">
        <f t="shared" ref="A21:D26" si="2">A10</f>
        <v>2012</v>
      </c>
      <c r="B21" s="4">
        <f t="shared" si="2"/>
        <v>1457806</v>
      </c>
      <c r="C21" s="4">
        <f t="shared" si="2"/>
        <v>1450045</v>
      </c>
      <c r="D21" s="4">
        <f t="shared" si="2"/>
        <v>99.467624635925489</v>
      </c>
      <c r="E21" s="4"/>
      <c r="F21" s="4"/>
      <c r="G21" s="4"/>
      <c r="H21" s="4"/>
      <c r="I21" s="4"/>
      <c r="J21" s="4"/>
      <c r="K21" s="4"/>
    </row>
    <row r="22" spans="1:11" ht="15" x14ac:dyDescent="0.25">
      <c r="A22" s="4">
        <f t="shared" si="2"/>
        <v>2013</v>
      </c>
      <c r="B22" s="4">
        <f t="shared" si="2"/>
        <v>1497810.8</v>
      </c>
      <c r="C22" s="4">
        <f t="shared" si="2"/>
        <v>1477702</v>
      </c>
      <c r="D22" s="4">
        <f t="shared" si="2"/>
        <v>98.657453932098761</v>
      </c>
      <c r="E22" s="4"/>
      <c r="F22" s="4"/>
      <c r="G22" s="4"/>
      <c r="H22" s="4"/>
      <c r="I22" s="4"/>
      <c r="J22" s="4"/>
      <c r="K22" s="4"/>
    </row>
    <row r="23" spans="1:11" ht="15" x14ac:dyDescent="0.25">
      <c r="A23" s="4">
        <f t="shared" si="2"/>
        <v>2014</v>
      </c>
      <c r="B23" s="4">
        <f t="shared" si="2"/>
        <v>1425249.5</v>
      </c>
      <c r="C23" s="4">
        <f t="shared" si="2"/>
        <v>1422011.4</v>
      </c>
      <c r="D23" s="4">
        <f t="shared" si="2"/>
        <v>99.772804691389112</v>
      </c>
      <c r="E23" s="4"/>
      <c r="F23" s="4"/>
      <c r="G23" s="4"/>
      <c r="H23" s="4"/>
      <c r="I23" s="4"/>
      <c r="J23" s="4"/>
      <c r="K23" s="4"/>
    </row>
    <row r="24" spans="1:11" ht="15" x14ac:dyDescent="0.25">
      <c r="A24" s="4">
        <f t="shared" si="2"/>
        <v>2015</v>
      </c>
      <c r="B24" s="4">
        <f t="shared" si="2"/>
        <v>1425327.2999999998</v>
      </c>
      <c r="C24" s="4">
        <f t="shared" si="2"/>
        <v>1430230.9999999998</v>
      </c>
      <c r="D24" s="4">
        <f t="shared" si="2"/>
        <v>100.34404027762605</v>
      </c>
      <c r="E24" s="4"/>
      <c r="F24" s="4"/>
      <c r="G24" s="4"/>
      <c r="H24" s="4"/>
      <c r="I24" s="4"/>
      <c r="J24" s="4"/>
      <c r="K24" s="4"/>
    </row>
    <row r="25" spans="1:11" ht="15" x14ac:dyDescent="0.25">
      <c r="A25" s="4">
        <f>A14</f>
        <v>2016</v>
      </c>
      <c r="B25" s="4">
        <f t="shared" si="2"/>
        <v>1524483.65</v>
      </c>
      <c r="C25" s="4">
        <f t="shared" si="2"/>
        <v>1521741.574</v>
      </c>
      <c r="D25" s="4">
        <f t="shared" si="2"/>
        <v>99.820130835775117</v>
      </c>
      <c r="E25" s="4"/>
      <c r="F25" s="4"/>
      <c r="G25" s="4"/>
      <c r="H25" s="4"/>
      <c r="I25" s="4"/>
      <c r="J25" s="4"/>
      <c r="K25" s="4"/>
    </row>
    <row r="26" spans="1:11" ht="15" x14ac:dyDescent="0.25">
      <c r="A26" s="4">
        <f>A15</f>
        <v>2017</v>
      </c>
      <c r="B26" s="4">
        <f t="shared" si="2"/>
        <v>1587193.57</v>
      </c>
      <c r="C26" s="4">
        <f t="shared" si="2"/>
        <v>1581332.3219999999</v>
      </c>
      <c r="D26" s="4">
        <f t="shared" si="2"/>
        <v>99.630716245908175</v>
      </c>
      <c r="E26" s="4"/>
      <c r="F26" s="4"/>
      <c r="G26" s="4"/>
      <c r="H26" s="4"/>
      <c r="I26" s="4"/>
      <c r="J26" s="4"/>
      <c r="K26" s="4"/>
    </row>
    <row r="27" spans="1:11" ht="15" x14ac:dyDescent="0.25">
      <c r="A27" s="4">
        <f t="shared" ref="A27:D27" si="3">A16</f>
        <v>2018</v>
      </c>
      <c r="B27" s="4">
        <f t="shared" si="3"/>
        <v>1583166.3060000001</v>
      </c>
      <c r="C27" s="4">
        <f t="shared" si="3"/>
        <v>1578480.4650000001</v>
      </c>
      <c r="D27" s="4">
        <f t="shared" si="3"/>
        <v>99.704020924255317</v>
      </c>
      <c r="E27" s="4"/>
      <c r="F27" s="4"/>
      <c r="G27" s="4"/>
      <c r="H27" s="4"/>
      <c r="I27" s="4"/>
      <c r="J27" s="4"/>
      <c r="K27" s="4"/>
    </row>
    <row r="28" spans="1:11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 hidden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 hidden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hidden="1" x14ac:dyDescent="0.25">
      <c r="A45" s="4"/>
      <c r="B45" s="4"/>
      <c r="C45" s="4"/>
      <c r="D45" s="4"/>
    </row>
    <row r="46" spans="1:11" ht="15" hidden="1" x14ac:dyDescent="0.25">
      <c r="A46" s="4"/>
      <c r="B46" s="4"/>
      <c r="C46" s="4"/>
      <c r="D46" s="4"/>
    </row>
    <row r="47" spans="1:11" ht="9" customHeight="1" x14ac:dyDescent="0.25">
      <c r="A47" s="4"/>
      <c r="B47" s="4"/>
      <c r="C47" s="4"/>
      <c r="D47" s="4"/>
    </row>
    <row r="48" spans="1:11" ht="18.75" customHeight="1" x14ac:dyDescent="0.25">
      <c r="A48" s="99" t="s">
        <v>224</v>
      </c>
      <c r="B48" s="100"/>
      <c r="C48" s="100"/>
      <c r="D48" s="10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D242"/>
  <sheetViews>
    <sheetView zoomScale="80" zoomScaleNormal="80" workbookViewId="0">
      <pane xSplit="6" ySplit="1" topLeftCell="AA2" activePane="bottomRight" state="frozen"/>
      <selection pane="topRight" activeCell="G1" sqref="G1"/>
      <selection pane="bottomLeft" activeCell="A2" sqref="A2"/>
      <selection pane="bottomRight" activeCell="AO1" sqref="AO1"/>
    </sheetView>
  </sheetViews>
  <sheetFormatPr baseColWidth="10" defaultRowHeight="12.75" x14ac:dyDescent="0.25"/>
  <cols>
    <col min="1" max="1" width="6.85546875" style="10" bestFit="1" customWidth="1"/>
    <col min="2" max="2" width="4.85546875" style="11" bestFit="1" customWidth="1"/>
    <col min="3" max="3" width="8.5703125" style="10" bestFit="1" customWidth="1"/>
    <col min="4" max="4" width="21" style="10" customWidth="1"/>
    <col min="5" max="5" width="10.140625" style="10" customWidth="1"/>
    <col min="6" max="6" width="7.85546875" style="10" customWidth="1"/>
    <col min="7" max="7" width="10.5703125" style="12" customWidth="1"/>
    <col min="8" max="8" width="10.7109375" style="12" customWidth="1"/>
    <col min="9" max="9" width="11.42578125" style="12" customWidth="1"/>
    <col min="10" max="10" width="10" style="12" customWidth="1"/>
    <col min="11" max="11" width="8" style="12" customWidth="1"/>
    <col min="12" max="12" width="9" style="12" customWidth="1"/>
    <col min="13" max="13" width="12.7109375" style="12" customWidth="1"/>
    <col min="14" max="14" width="10.140625" style="12" customWidth="1"/>
    <col min="15" max="15" width="10" style="12" customWidth="1"/>
    <col min="16" max="16" width="11.42578125" style="12" customWidth="1"/>
    <col min="17" max="17" width="12.7109375" style="12" customWidth="1"/>
    <col min="18" max="18" width="10.140625" style="12" customWidth="1"/>
    <col min="19" max="19" width="12.7109375" style="12" customWidth="1"/>
    <col min="20" max="25" width="12.5703125" style="12" customWidth="1"/>
    <col min="26" max="26" width="10.5703125" style="12" customWidth="1"/>
    <col min="27" max="56" width="12.5703125" style="12" customWidth="1"/>
    <col min="57" max="16384" width="11.42578125" style="10"/>
  </cols>
  <sheetData>
    <row r="1" spans="1:56" x14ac:dyDescent="0.25">
      <c r="A1" s="37" t="s">
        <v>95</v>
      </c>
      <c r="B1" s="37" t="s">
        <v>51</v>
      </c>
      <c r="C1" s="37" t="s">
        <v>52</v>
      </c>
      <c r="D1" s="37" t="s">
        <v>94</v>
      </c>
      <c r="E1" s="37" t="s">
        <v>86</v>
      </c>
      <c r="F1" s="37" t="s">
        <v>45</v>
      </c>
      <c r="G1" s="13" t="s">
        <v>105</v>
      </c>
      <c r="H1" s="13" t="s">
        <v>104</v>
      </c>
      <c r="I1" s="13" t="s">
        <v>106</v>
      </c>
      <c r="J1" s="13" t="s">
        <v>93</v>
      </c>
      <c r="K1" s="13" t="s">
        <v>107</v>
      </c>
      <c r="L1" s="13" t="s">
        <v>102</v>
      </c>
      <c r="M1" s="13" t="s">
        <v>103</v>
      </c>
      <c r="N1" s="13" t="s">
        <v>111</v>
      </c>
      <c r="O1" s="13" t="s">
        <v>112</v>
      </c>
      <c r="P1" s="13" t="s">
        <v>108</v>
      </c>
      <c r="Q1" s="13" t="s">
        <v>109</v>
      </c>
      <c r="R1" s="13" t="s">
        <v>110</v>
      </c>
      <c r="S1" s="13" t="s">
        <v>113</v>
      </c>
      <c r="T1" s="13" t="s">
        <v>115</v>
      </c>
      <c r="U1" s="13" t="s">
        <v>114</v>
      </c>
      <c r="V1" s="13" t="s">
        <v>183</v>
      </c>
      <c r="W1" s="13" t="s">
        <v>184</v>
      </c>
      <c r="X1" s="13" t="s">
        <v>117</v>
      </c>
      <c r="Y1" s="13" t="s">
        <v>116</v>
      </c>
      <c r="Z1" s="13" t="s">
        <v>119</v>
      </c>
      <c r="AA1" s="13" t="s">
        <v>118</v>
      </c>
      <c r="AB1" s="13" t="s">
        <v>120</v>
      </c>
      <c r="AC1" s="13" t="s">
        <v>129</v>
      </c>
      <c r="AD1" s="13" t="s">
        <v>121</v>
      </c>
      <c r="AE1" s="13" t="s">
        <v>122</v>
      </c>
      <c r="AF1" s="13" t="s">
        <v>123</v>
      </c>
      <c r="AG1" s="13" t="s">
        <v>124</v>
      </c>
      <c r="AH1" s="13" t="s">
        <v>132</v>
      </c>
      <c r="AI1" s="13" t="s">
        <v>125</v>
      </c>
      <c r="AJ1" s="13" t="s">
        <v>126</v>
      </c>
      <c r="AK1" s="13" t="s">
        <v>127</v>
      </c>
      <c r="AL1" s="13" t="s">
        <v>128</v>
      </c>
      <c r="AM1" s="13" t="s">
        <v>130</v>
      </c>
      <c r="AN1" s="13" t="s">
        <v>131</v>
      </c>
      <c r="AO1" s="13" t="s">
        <v>136</v>
      </c>
      <c r="AP1" s="13" t="s">
        <v>137</v>
      </c>
      <c r="AQ1" s="13" t="s">
        <v>138</v>
      </c>
      <c r="AR1" s="13" t="s">
        <v>139</v>
      </c>
      <c r="AS1" s="13" t="s">
        <v>140</v>
      </c>
      <c r="AT1" s="13" t="s">
        <v>141</v>
      </c>
      <c r="AU1" s="13" t="s">
        <v>147</v>
      </c>
      <c r="AV1" s="13" t="s">
        <v>142</v>
      </c>
      <c r="AW1" s="13" t="s">
        <v>148</v>
      </c>
      <c r="AX1" s="13" t="s">
        <v>143</v>
      </c>
      <c r="AY1" s="13" t="s">
        <v>144</v>
      </c>
      <c r="AZ1" s="13" t="s">
        <v>149</v>
      </c>
      <c r="BA1" s="13" t="s">
        <v>150</v>
      </c>
      <c r="BB1" s="13" t="s">
        <v>145</v>
      </c>
      <c r="BC1" s="13" t="s">
        <v>151</v>
      </c>
      <c r="BD1" s="13" t="s">
        <v>146</v>
      </c>
    </row>
    <row r="2" spans="1:56" hidden="1" x14ac:dyDescent="0.25">
      <c r="A2" s="38" t="s">
        <v>49</v>
      </c>
      <c r="B2" s="39">
        <v>1</v>
      </c>
      <c r="C2" s="38" t="s">
        <v>54</v>
      </c>
      <c r="D2" s="38" t="s">
        <v>1</v>
      </c>
      <c r="E2" s="38" t="s">
        <v>87</v>
      </c>
      <c r="F2" s="38">
        <v>2012</v>
      </c>
      <c r="G2" s="35">
        <v>4876</v>
      </c>
      <c r="H2" s="35">
        <v>1859</v>
      </c>
      <c r="I2" s="35">
        <v>3017</v>
      </c>
      <c r="J2" s="35">
        <v>20398</v>
      </c>
      <c r="K2" s="35">
        <v>60</v>
      </c>
      <c r="L2" s="35">
        <v>14</v>
      </c>
      <c r="M2" s="35">
        <v>14</v>
      </c>
      <c r="N2" s="35">
        <v>4112</v>
      </c>
      <c r="O2" s="35">
        <v>74697.646290988239</v>
      </c>
      <c r="P2" s="35">
        <v>4668</v>
      </c>
      <c r="Q2" s="35">
        <v>4767</v>
      </c>
      <c r="R2" s="35">
        <v>1103</v>
      </c>
      <c r="S2" s="35">
        <v>557</v>
      </c>
      <c r="T2" s="35"/>
      <c r="U2" s="35"/>
      <c r="V2" s="35">
        <v>1624</v>
      </c>
      <c r="W2" s="35">
        <v>963</v>
      </c>
      <c r="X2" s="35">
        <v>944</v>
      </c>
      <c r="Y2" s="35">
        <v>909</v>
      </c>
      <c r="Z2" s="35">
        <v>4876</v>
      </c>
      <c r="AA2" s="35">
        <v>48953729</v>
      </c>
      <c r="AB2" s="35">
        <v>288</v>
      </c>
      <c r="AC2" s="35">
        <v>4506</v>
      </c>
      <c r="AD2" s="35">
        <v>314</v>
      </c>
      <c r="AE2" s="35">
        <v>808</v>
      </c>
      <c r="AF2" s="35">
        <v>403</v>
      </c>
      <c r="AG2" s="35">
        <v>62</v>
      </c>
      <c r="AH2" s="35">
        <v>113</v>
      </c>
      <c r="AI2" s="35">
        <v>6562</v>
      </c>
      <c r="AJ2" s="35">
        <v>164</v>
      </c>
      <c r="AK2" s="35" t="s">
        <v>2</v>
      </c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1:56" hidden="1" x14ac:dyDescent="0.25">
      <c r="A3" s="38" t="s">
        <v>49</v>
      </c>
      <c r="B3" s="39">
        <v>2</v>
      </c>
      <c r="C3" s="38" t="s">
        <v>55</v>
      </c>
      <c r="D3" s="38" t="s">
        <v>3</v>
      </c>
      <c r="E3" s="38" t="s">
        <v>87</v>
      </c>
      <c r="F3" s="38">
        <v>2012</v>
      </c>
      <c r="G3" s="35">
        <v>8368</v>
      </c>
      <c r="H3" s="35">
        <v>3424</v>
      </c>
      <c r="I3" s="35">
        <v>4944</v>
      </c>
      <c r="J3" s="35">
        <v>49802</v>
      </c>
      <c r="K3" s="35">
        <v>119</v>
      </c>
      <c r="L3" s="35">
        <v>21</v>
      </c>
      <c r="M3" s="35">
        <v>25</v>
      </c>
      <c r="N3" s="35">
        <v>6792</v>
      </c>
      <c r="O3" s="35">
        <v>192090.84815481934</v>
      </c>
      <c r="P3" s="35">
        <v>4392</v>
      </c>
      <c r="Q3" s="35">
        <v>8361</v>
      </c>
      <c r="R3" s="35">
        <v>1726</v>
      </c>
      <c r="S3" s="35">
        <v>2404</v>
      </c>
      <c r="T3" s="35"/>
      <c r="U3" s="35"/>
      <c r="V3" s="35">
        <v>3324</v>
      </c>
      <c r="W3" s="35">
        <v>1526</v>
      </c>
      <c r="X3" s="35">
        <v>1452</v>
      </c>
      <c r="Y3" s="35">
        <v>1402</v>
      </c>
      <c r="Z3" s="35">
        <v>8368</v>
      </c>
      <c r="AA3" s="35">
        <v>107428039</v>
      </c>
      <c r="AB3" s="35">
        <v>404</v>
      </c>
      <c r="AC3" s="35">
        <v>7451</v>
      </c>
      <c r="AD3" s="35">
        <v>321</v>
      </c>
      <c r="AE3" s="35">
        <v>1279</v>
      </c>
      <c r="AF3" s="35">
        <v>696</v>
      </c>
      <c r="AG3" s="35">
        <v>133</v>
      </c>
      <c r="AH3" s="35">
        <v>199</v>
      </c>
      <c r="AI3" s="35">
        <v>20418</v>
      </c>
      <c r="AJ3" s="35">
        <v>6</v>
      </c>
      <c r="AK3" s="35" t="s">
        <v>2</v>
      </c>
      <c r="AL3" s="35"/>
      <c r="AM3" s="35"/>
      <c r="AN3" s="35">
        <v>2528</v>
      </c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</row>
    <row r="4" spans="1:56" hidden="1" x14ac:dyDescent="0.25">
      <c r="A4" s="38" t="s">
        <v>49</v>
      </c>
      <c r="B4" s="39">
        <v>3</v>
      </c>
      <c r="C4" s="38" t="s">
        <v>56</v>
      </c>
      <c r="D4" s="38" t="s">
        <v>4</v>
      </c>
      <c r="E4" s="38" t="s">
        <v>87</v>
      </c>
      <c r="F4" s="38">
        <v>2012</v>
      </c>
      <c r="G4" s="35">
        <v>1902</v>
      </c>
      <c r="H4" s="35">
        <v>858</v>
      </c>
      <c r="I4" s="35">
        <v>1044</v>
      </c>
      <c r="J4" s="35">
        <v>10312</v>
      </c>
      <c r="K4" s="35">
        <v>29</v>
      </c>
      <c r="L4" s="35">
        <v>5</v>
      </c>
      <c r="M4" s="35">
        <v>2</v>
      </c>
      <c r="N4" s="35">
        <v>1482</v>
      </c>
      <c r="O4" s="35">
        <v>37800.625728817657</v>
      </c>
      <c r="P4" s="35">
        <v>1173</v>
      </c>
      <c r="Q4" s="35">
        <v>1691</v>
      </c>
      <c r="R4" s="35">
        <v>450</v>
      </c>
      <c r="S4" s="35">
        <v>558</v>
      </c>
      <c r="T4" s="35"/>
      <c r="U4" s="35"/>
      <c r="V4" s="35">
        <v>813</v>
      </c>
      <c r="W4" s="35">
        <v>420</v>
      </c>
      <c r="X4" s="35">
        <v>361</v>
      </c>
      <c r="Y4" s="35">
        <v>337</v>
      </c>
      <c r="Z4" s="35">
        <v>1902</v>
      </c>
      <c r="AA4" s="35">
        <v>26873657</v>
      </c>
      <c r="AB4" s="35">
        <v>86</v>
      </c>
      <c r="AC4" s="35">
        <v>1583</v>
      </c>
      <c r="AD4" s="35">
        <v>160</v>
      </c>
      <c r="AE4" s="35">
        <v>436</v>
      </c>
      <c r="AF4" s="35">
        <v>217</v>
      </c>
      <c r="AG4" s="35">
        <v>36</v>
      </c>
      <c r="AH4" s="35">
        <v>61</v>
      </c>
      <c r="AI4" s="35">
        <v>3026</v>
      </c>
      <c r="AJ4" s="35">
        <v>0</v>
      </c>
      <c r="AK4" s="35" t="s">
        <v>2</v>
      </c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</row>
    <row r="5" spans="1:56" hidden="1" x14ac:dyDescent="0.25">
      <c r="A5" s="38" t="s">
        <v>49</v>
      </c>
      <c r="B5" s="39">
        <v>4</v>
      </c>
      <c r="C5" s="38" t="s">
        <v>57</v>
      </c>
      <c r="D5" s="38" t="s">
        <v>5</v>
      </c>
      <c r="E5" s="38" t="s">
        <v>87</v>
      </c>
      <c r="F5" s="38">
        <v>2012</v>
      </c>
      <c r="G5" s="35">
        <v>1864</v>
      </c>
      <c r="H5" s="35">
        <v>802</v>
      </c>
      <c r="I5" s="35">
        <v>1062</v>
      </c>
      <c r="J5" s="35">
        <v>12415</v>
      </c>
      <c r="K5" s="35">
        <v>37</v>
      </c>
      <c r="L5" s="35">
        <v>8</v>
      </c>
      <c r="M5" s="35">
        <v>14</v>
      </c>
      <c r="N5" s="35">
        <v>1334</v>
      </c>
      <c r="O5" s="35">
        <v>49910.405898190787</v>
      </c>
      <c r="P5" s="35">
        <v>1018</v>
      </c>
      <c r="Q5" s="35">
        <v>1773</v>
      </c>
      <c r="R5" s="35">
        <v>323</v>
      </c>
      <c r="S5" s="35">
        <v>515</v>
      </c>
      <c r="T5" s="35"/>
      <c r="U5" s="35"/>
      <c r="V5" s="35">
        <v>701</v>
      </c>
      <c r="W5" s="35">
        <v>274</v>
      </c>
      <c r="X5" s="35">
        <v>268</v>
      </c>
      <c r="Y5" s="35">
        <v>256</v>
      </c>
      <c r="Z5" s="35">
        <v>1864</v>
      </c>
      <c r="AA5" s="35">
        <v>32707759</v>
      </c>
      <c r="AB5" s="35">
        <v>113</v>
      </c>
      <c r="AC5" s="35">
        <v>1594</v>
      </c>
      <c r="AD5" s="35">
        <v>128</v>
      </c>
      <c r="AE5" s="35">
        <v>417</v>
      </c>
      <c r="AF5" s="35">
        <v>264</v>
      </c>
      <c r="AG5" s="35">
        <v>29</v>
      </c>
      <c r="AH5" s="35">
        <v>70</v>
      </c>
      <c r="AI5" s="35">
        <v>2301</v>
      </c>
      <c r="AJ5" s="35">
        <v>68</v>
      </c>
      <c r="AK5" s="35">
        <v>1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</row>
    <row r="6" spans="1:56" hidden="1" x14ac:dyDescent="0.25">
      <c r="A6" s="38" t="s">
        <v>49</v>
      </c>
      <c r="B6" s="39">
        <v>7</v>
      </c>
      <c r="C6" s="38" t="s">
        <v>58</v>
      </c>
      <c r="D6" s="38" t="s">
        <v>6</v>
      </c>
      <c r="E6" s="38" t="s">
        <v>87</v>
      </c>
      <c r="F6" s="38">
        <v>2012</v>
      </c>
      <c r="G6" s="35">
        <v>7730</v>
      </c>
      <c r="H6" s="35">
        <v>2882</v>
      </c>
      <c r="I6" s="35">
        <v>4848</v>
      </c>
      <c r="J6" s="35">
        <v>85110</v>
      </c>
      <c r="K6" s="35">
        <v>118</v>
      </c>
      <c r="L6" s="35">
        <v>16</v>
      </c>
      <c r="M6" s="35">
        <v>42</v>
      </c>
      <c r="N6" s="35">
        <v>5618</v>
      </c>
      <c r="O6" s="35">
        <v>336550.24744312256</v>
      </c>
      <c r="P6" s="35">
        <v>4214</v>
      </c>
      <c r="Q6" s="35">
        <v>7326</v>
      </c>
      <c r="R6" s="35">
        <v>1395</v>
      </c>
      <c r="S6" s="35">
        <v>1428</v>
      </c>
      <c r="T6" s="35"/>
      <c r="U6" s="35"/>
      <c r="V6" s="35">
        <v>2390</v>
      </c>
      <c r="W6" s="35">
        <v>1305</v>
      </c>
      <c r="X6" s="35">
        <v>1230</v>
      </c>
      <c r="Y6" s="35">
        <v>1169</v>
      </c>
      <c r="Z6" s="35">
        <v>7730</v>
      </c>
      <c r="AA6" s="35">
        <v>122421262</v>
      </c>
      <c r="AB6" s="35">
        <v>479</v>
      </c>
      <c r="AC6" s="35">
        <v>6799</v>
      </c>
      <c r="AD6" s="35">
        <v>254</v>
      </c>
      <c r="AE6" s="35">
        <v>866</v>
      </c>
      <c r="AF6" s="35">
        <v>666</v>
      </c>
      <c r="AG6" s="35">
        <v>96</v>
      </c>
      <c r="AH6" s="35">
        <v>215</v>
      </c>
      <c r="AI6" s="35">
        <v>5593</v>
      </c>
      <c r="AJ6" s="35">
        <v>0</v>
      </c>
      <c r="AK6" s="35" t="s">
        <v>2</v>
      </c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hidden="1" x14ac:dyDescent="0.25">
      <c r="A7" s="38" t="s">
        <v>49</v>
      </c>
      <c r="B7" s="39">
        <v>8</v>
      </c>
      <c r="C7" s="38" t="s">
        <v>59</v>
      </c>
      <c r="D7" s="38" t="s">
        <v>7</v>
      </c>
      <c r="E7" s="38" t="s">
        <v>87</v>
      </c>
      <c r="F7" s="38">
        <v>2012</v>
      </c>
      <c r="G7" s="35">
        <v>9183</v>
      </c>
      <c r="H7" s="35">
        <v>4195</v>
      </c>
      <c r="I7" s="35">
        <v>4988</v>
      </c>
      <c r="J7" s="35">
        <v>50851</v>
      </c>
      <c r="K7" s="35">
        <v>136</v>
      </c>
      <c r="L7" s="35">
        <v>20</v>
      </c>
      <c r="M7" s="35">
        <v>36</v>
      </c>
      <c r="N7" s="35">
        <v>7611</v>
      </c>
      <c r="O7" s="35">
        <v>201025.68902505681</v>
      </c>
      <c r="P7" s="35">
        <v>5056</v>
      </c>
      <c r="Q7" s="35">
        <v>8606</v>
      </c>
      <c r="R7" s="35">
        <v>1685</v>
      </c>
      <c r="S7" s="35">
        <v>2856</v>
      </c>
      <c r="T7" s="35"/>
      <c r="U7" s="35"/>
      <c r="V7" s="35">
        <v>3172</v>
      </c>
      <c r="W7" s="35">
        <v>1499</v>
      </c>
      <c r="X7" s="35">
        <v>1626</v>
      </c>
      <c r="Y7" s="35">
        <v>1561</v>
      </c>
      <c r="Z7" s="35">
        <v>9183</v>
      </c>
      <c r="AA7" s="35">
        <v>117528205</v>
      </c>
      <c r="AB7" s="35">
        <v>573</v>
      </c>
      <c r="AC7" s="35">
        <v>7644</v>
      </c>
      <c r="AD7" s="35">
        <v>427</v>
      </c>
      <c r="AE7" s="35">
        <v>1595</v>
      </c>
      <c r="AF7" s="35">
        <v>866</v>
      </c>
      <c r="AG7" s="35">
        <v>152</v>
      </c>
      <c r="AH7" s="35">
        <v>217</v>
      </c>
      <c r="AI7" s="35">
        <v>17438</v>
      </c>
      <c r="AJ7" s="35">
        <v>429</v>
      </c>
      <c r="AK7" s="35" t="s">
        <v>2</v>
      </c>
      <c r="AL7" s="35"/>
      <c r="AM7" s="35"/>
      <c r="AN7" s="35">
        <v>1190</v>
      </c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</row>
    <row r="8" spans="1:56" hidden="1" x14ac:dyDescent="0.25">
      <c r="A8" s="38" t="s">
        <v>50</v>
      </c>
      <c r="B8" s="39">
        <v>9</v>
      </c>
      <c r="C8" s="38" t="s">
        <v>84</v>
      </c>
      <c r="D8" s="38" t="s">
        <v>32</v>
      </c>
      <c r="E8" s="38" t="s">
        <v>87</v>
      </c>
      <c r="F8" s="38">
        <v>2012</v>
      </c>
      <c r="G8" s="35">
        <v>43673</v>
      </c>
      <c r="H8" s="35">
        <v>17932</v>
      </c>
      <c r="I8" s="35">
        <v>25741</v>
      </c>
      <c r="J8" s="35">
        <v>130411</v>
      </c>
      <c r="K8" s="35">
        <v>537</v>
      </c>
      <c r="L8" s="35">
        <v>95</v>
      </c>
      <c r="M8" s="35">
        <v>175</v>
      </c>
      <c r="N8" s="35">
        <v>32353</v>
      </c>
      <c r="O8" s="35">
        <v>423138.95799915184</v>
      </c>
      <c r="P8" s="35">
        <v>23573</v>
      </c>
      <c r="Q8" s="35">
        <v>44765</v>
      </c>
      <c r="R8" s="35">
        <v>8530</v>
      </c>
      <c r="S8" s="35">
        <v>15631</v>
      </c>
      <c r="T8" s="35"/>
      <c r="U8" s="35"/>
      <c r="V8" s="35">
        <v>19638</v>
      </c>
      <c r="W8" s="35">
        <v>7474</v>
      </c>
      <c r="X8" s="35">
        <v>7037</v>
      </c>
      <c r="Y8" s="35">
        <v>4977</v>
      </c>
      <c r="Z8" s="35"/>
      <c r="AA8" s="35"/>
      <c r="AB8" s="35">
        <v>2203</v>
      </c>
      <c r="AC8" s="35">
        <v>39166</v>
      </c>
      <c r="AD8" s="35">
        <v>882</v>
      </c>
      <c r="AE8" s="35">
        <v>6876</v>
      </c>
      <c r="AF8" s="35">
        <v>3057</v>
      </c>
      <c r="AG8" s="35">
        <v>718</v>
      </c>
      <c r="AH8" s="35">
        <v>1261</v>
      </c>
      <c r="AI8" s="35">
        <v>22808</v>
      </c>
      <c r="AJ8" s="35">
        <v>201</v>
      </c>
      <c r="AK8" s="35">
        <v>1</v>
      </c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1:56" hidden="1" x14ac:dyDescent="0.25">
      <c r="A9" s="38" t="s">
        <v>49</v>
      </c>
      <c r="B9" s="39">
        <v>5</v>
      </c>
      <c r="C9" s="38" t="s">
        <v>60</v>
      </c>
      <c r="D9" s="38" t="s">
        <v>31</v>
      </c>
      <c r="E9" s="38" t="s">
        <v>87</v>
      </c>
      <c r="F9" s="38">
        <v>2012</v>
      </c>
      <c r="G9" s="35">
        <v>8071</v>
      </c>
      <c r="H9" s="35">
        <v>3210</v>
      </c>
      <c r="I9" s="35">
        <v>4861</v>
      </c>
      <c r="J9" s="35">
        <v>40260</v>
      </c>
      <c r="K9" s="35">
        <v>133</v>
      </c>
      <c r="L9" s="35">
        <v>31</v>
      </c>
      <c r="M9" s="35">
        <v>42</v>
      </c>
      <c r="N9" s="35">
        <v>7126</v>
      </c>
      <c r="O9" s="35">
        <v>162290.780422715</v>
      </c>
      <c r="P9" s="35">
        <v>5111</v>
      </c>
      <c r="Q9" s="35">
        <v>7911</v>
      </c>
      <c r="R9" s="35">
        <v>1734</v>
      </c>
      <c r="S9" s="35">
        <v>1484</v>
      </c>
      <c r="T9" s="35"/>
      <c r="U9" s="35"/>
      <c r="V9" s="35">
        <v>3118</v>
      </c>
      <c r="W9" s="35">
        <v>1594</v>
      </c>
      <c r="X9" s="35">
        <v>1643</v>
      </c>
      <c r="Y9" s="35">
        <v>1635</v>
      </c>
      <c r="Z9" s="35">
        <v>8071</v>
      </c>
      <c r="AA9" s="35">
        <v>116866888</v>
      </c>
      <c r="AB9" s="35">
        <v>438</v>
      </c>
      <c r="AC9" s="35">
        <v>7197</v>
      </c>
      <c r="AD9" s="35">
        <v>513</v>
      </c>
      <c r="AE9" s="35">
        <v>1404</v>
      </c>
      <c r="AF9" s="35">
        <v>774</v>
      </c>
      <c r="AG9" s="35">
        <v>121</v>
      </c>
      <c r="AH9" s="35">
        <v>223</v>
      </c>
      <c r="AI9" s="35">
        <v>13884</v>
      </c>
      <c r="AJ9" s="35">
        <v>104</v>
      </c>
      <c r="AK9" s="35">
        <v>2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1:56" hidden="1" x14ac:dyDescent="0.25">
      <c r="A10" s="38" t="s">
        <v>49</v>
      </c>
      <c r="B10" s="39">
        <v>6</v>
      </c>
      <c r="C10" s="38" t="s">
        <v>61</v>
      </c>
      <c r="D10" s="38" t="s">
        <v>8</v>
      </c>
      <c r="E10" s="38" t="s">
        <v>87</v>
      </c>
      <c r="F10" s="38">
        <v>2012</v>
      </c>
      <c r="G10" s="35">
        <v>1864</v>
      </c>
      <c r="H10" s="35">
        <v>837</v>
      </c>
      <c r="I10" s="35">
        <v>1027</v>
      </c>
      <c r="J10" s="35">
        <v>9463</v>
      </c>
      <c r="K10" s="35">
        <v>33</v>
      </c>
      <c r="L10" s="35">
        <v>5</v>
      </c>
      <c r="M10" s="35">
        <v>10</v>
      </c>
      <c r="N10" s="35">
        <v>1145</v>
      </c>
      <c r="O10" s="35">
        <v>37652.050005981437</v>
      </c>
      <c r="P10" s="35">
        <v>1083</v>
      </c>
      <c r="Q10" s="35">
        <v>1765</v>
      </c>
      <c r="R10" s="35">
        <v>324</v>
      </c>
      <c r="S10" s="35">
        <v>818</v>
      </c>
      <c r="T10" s="35"/>
      <c r="U10" s="35"/>
      <c r="V10" s="35">
        <v>659</v>
      </c>
      <c r="W10" s="35">
        <v>299</v>
      </c>
      <c r="X10" s="35">
        <v>239</v>
      </c>
      <c r="Y10" s="35">
        <v>211</v>
      </c>
      <c r="Z10" s="35">
        <v>1864</v>
      </c>
      <c r="AA10" s="35">
        <v>33361684</v>
      </c>
      <c r="AB10" s="35">
        <v>131</v>
      </c>
      <c r="AC10" s="35">
        <v>1513</v>
      </c>
      <c r="AD10" s="35">
        <v>105</v>
      </c>
      <c r="AE10" s="35">
        <v>180</v>
      </c>
      <c r="AF10" s="35">
        <v>258</v>
      </c>
      <c r="AG10" s="35">
        <v>44</v>
      </c>
      <c r="AH10" s="35">
        <v>59</v>
      </c>
      <c r="AI10" s="35">
        <v>4285</v>
      </c>
      <c r="AJ10" s="35">
        <v>25</v>
      </c>
      <c r="AK10" s="35">
        <v>5</v>
      </c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 hidden="1" x14ac:dyDescent="0.25">
      <c r="A11" s="38" t="s">
        <v>49</v>
      </c>
      <c r="B11" s="39">
        <v>10</v>
      </c>
      <c r="C11" s="38" t="s">
        <v>62</v>
      </c>
      <c r="D11" s="38" t="s">
        <v>9</v>
      </c>
      <c r="E11" s="38" t="s">
        <v>87</v>
      </c>
      <c r="F11" s="38">
        <v>2012</v>
      </c>
      <c r="G11" s="35">
        <v>2386</v>
      </c>
      <c r="H11" s="35">
        <v>1103</v>
      </c>
      <c r="I11" s="35">
        <v>1283</v>
      </c>
      <c r="J11" s="35">
        <v>26707</v>
      </c>
      <c r="K11" s="35">
        <v>46</v>
      </c>
      <c r="L11" s="35">
        <v>14</v>
      </c>
      <c r="M11" s="35">
        <v>12</v>
      </c>
      <c r="N11" s="35">
        <v>1984</v>
      </c>
      <c r="O11" s="35">
        <v>103877.16130392933</v>
      </c>
      <c r="P11" s="35">
        <v>1409</v>
      </c>
      <c r="Q11" s="35">
        <v>2350</v>
      </c>
      <c r="R11" s="35">
        <v>420</v>
      </c>
      <c r="S11" s="35">
        <v>733</v>
      </c>
      <c r="T11" s="35"/>
      <c r="U11" s="35"/>
      <c r="V11" s="35">
        <v>1057</v>
      </c>
      <c r="W11" s="35">
        <v>389</v>
      </c>
      <c r="X11" s="35">
        <v>414</v>
      </c>
      <c r="Y11" s="35">
        <v>346</v>
      </c>
      <c r="Z11" s="35">
        <v>2386</v>
      </c>
      <c r="AA11" s="35">
        <v>31954556</v>
      </c>
      <c r="AB11" s="35">
        <v>163</v>
      </c>
      <c r="AC11" s="35">
        <v>2108</v>
      </c>
      <c r="AD11" s="35">
        <v>224</v>
      </c>
      <c r="AE11" s="35">
        <v>499</v>
      </c>
      <c r="AF11" s="35">
        <v>254</v>
      </c>
      <c r="AG11" s="35">
        <v>38</v>
      </c>
      <c r="AH11" s="35">
        <v>62</v>
      </c>
      <c r="AI11" s="35">
        <v>9014</v>
      </c>
      <c r="AJ11" s="35">
        <v>63</v>
      </c>
      <c r="AK11" s="35" t="s">
        <v>2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6" hidden="1" x14ac:dyDescent="0.25">
      <c r="A12" s="38" t="s">
        <v>49</v>
      </c>
      <c r="B12" s="39">
        <v>11</v>
      </c>
      <c r="C12" s="38" t="s">
        <v>63</v>
      </c>
      <c r="D12" s="38" t="s">
        <v>10</v>
      </c>
      <c r="E12" s="38" t="s">
        <v>87</v>
      </c>
      <c r="F12" s="38">
        <v>2012</v>
      </c>
      <c r="G12" s="35">
        <v>16619</v>
      </c>
      <c r="H12" s="35">
        <v>6715</v>
      </c>
      <c r="I12" s="35">
        <v>9904</v>
      </c>
      <c r="J12" s="35">
        <v>90823</v>
      </c>
      <c r="K12" s="35">
        <v>218</v>
      </c>
      <c r="L12" s="35">
        <v>51</v>
      </c>
      <c r="M12" s="35">
        <v>74</v>
      </c>
      <c r="N12" s="35">
        <v>14073</v>
      </c>
      <c r="O12" s="35">
        <v>350740.06544113893</v>
      </c>
      <c r="P12" s="35">
        <v>10612</v>
      </c>
      <c r="Q12" s="35">
        <v>15961</v>
      </c>
      <c r="R12" s="35">
        <v>3801</v>
      </c>
      <c r="S12" s="35">
        <v>3852</v>
      </c>
      <c r="T12" s="35"/>
      <c r="U12" s="35"/>
      <c r="V12" s="35">
        <v>5966</v>
      </c>
      <c r="W12" s="35">
        <v>3545</v>
      </c>
      <c r="X12" s="35">
        <v>3234</v>
      </c>
      <c r="Y12" s="35">
        <v>3066</v>
      </c>
      <c r="Z12" s="35">
        <v>16619</v>
      </c>
      <c r="AA12" s="35">
        <v>186737077</v>
      </c>
      <c r="AB12" s="35">
        <v>942</v>
      </c>
      <c r="AC12" s="35">
        <v>14901</v>
      </c>
      <c r="AD12" s="35">
        <v>634</v>
      </c>
      <c r="AE12" s="35">
        <v>2604</v>
      </c>
      <c r="AF12" s="35">
        <v>1787</v>
      </c>
      <c r="AG12" s="35">
        <v>227</v>
      </c>
      <c r="AH12" s="35">
        <v>379</v>
      </c>
      <c r="AI12" s="35">
        <v>33636</v>
      </c>
      <c r="AJ12" s="35">
        <v>233</v>
      </c>
      <c r="AK12" s="35">
        <v>3</v>
      </c>
      <c r="AL12" s="35"/>
      <c r="AM12" s="35"/>
      <c r="AN12" s="35">
        <v>9342</v>
      </c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6" hidden="1" x14ac:dyDescent="0.25">
      <c r="A13" s="38" t="s">
        <v>49</v>
      </c>
      <c r="B13" s="39">
        <v>12</v>
      </c>
      <c r="C13" s="38" t="s">
        <v>64</v>
      </c>
      <c r="D13" s="38" t="s">
        <v>11</v>
      </c>
      <c r="E13" s="38" t="s">
        <v>87</v>
      </c>
      <c r="F13" s="38">
        <v>2012</v>
      </c>
      <c r="G13" s="35">
        <v>7047</v>
      </c>
      <c r="H13" s="35">
        <v>2844</v>
      </c>
      <c r="I13" s="35">
        <v>4203</v>
      </c>
      <c r="J13" s="35">
        <v>59586</v>
      </c>
      <c r="K13" s="35">
        <v>117</v>
      </c>
      <c r="L13" s="35">
        <v>30</v>
      </c>
      <c r="M13" s="35">
        <v>38</v>
      </c>
      <c r="N13" s="35">
        <v>5657</v>
      </c>
      <c r="O13" s="35">
        <v>229727.1363150301</v>
      </c>
      <c r="P13" s="35">
        <v>4087</v>
      </c>
      <c r="Q13" s="35">
        <v>7093</v>
      </c>
      <c r="R13" s="35">
        <v>1393</v>
      </c>
      <c r="S13" s="35">
        <v>2304</v>
      </c>
      <c r="T13" s="35"/>
      <c r="U13" s="35"/>
      <c r="V13" s="35">
        <v>2925</v>
      </c>
      <c r="W13" s="35">
        <v>1318</v>
      </c>
      <c r="X13" s="35">
        <v>881</v>
      </c>
      <c r="Y13" s="35">
        <v>733</v>
      </c>
      <c r="Z13" s="35">
        <v>7047</v>
      </c>
      <c r="AA13" s="35">
        <v>101478941</v>
      </c>
      <c r="AB13" s="35">
        <v>334</v>
      </c>
      <c r="AC13" s="35">
        <v>6549</v>
      </c>
      <c r="AD13" s="35">
        <v>310</v>
      </c>
      <c r="AE13" s="35">
        <v>1520</v>
      </c>
      <c r="AF13" s="35">
        <v>509</v>
      </c>
      <c r="AG13" s="35">
        <v>139</v>
      </c>
      <c r="AH13" s="35">
        <v>228</v>
      </c>
      <c r="AI13" s="35">
        <v>4454</v>
      </c>
      <c r="AJ13" s="35">
        <v>99</v>
      </c>
      <c r="AK13" s="35" t="s">
        <v>2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 hidden="1" x14ac:dyDescent="0.25">
      <c r="A14" s="38" t="s">
        <v>49</v>
      </c>
      <c r="B14" s="39">
        <v>13</v>
      </c>
      <c r="C14" s="38" t="s">
        <v>65</v>
      </c>
      <c r="D14" s="38" t="s">
        <v>12</v>
      </c>
      <c r="E14" s="38" t="s">
        <v>87</v>
      </c>
      <c r="F14" s="38">
        <v>2012</v>
      </c>
      <c r="G14" s="35">
        <v>3690</v>
      </c>
      <c r="H14" s="35">
        <v>1523</v>
      </c>
      <c r="I14" s="35">
        <v>2167</v>
      </c>
      <c r="J14" s="35">
        <v>47292</v>
      </c>
      <c r="K14" s="35">
        <v>60</v>
      </c>
      <c r="L14" s="35">
        <v>28</v>
      </c>
      <c r="M14" s="35">
        <v>23</v>
      </c>
      <c r="N14" s="35">
        <v>2872</v>
      </c>
      <c r="O14" s="35">
        <v>160589.72081369814</v>
      </c>
      <c r="P14" s="35">
        <v>1954</v>
      </c>
      <c r="Q14" s="35">
        <v>3694</v>
      </c>
      <c r="R14" s="35">
        <v>787</v>
      </c>
      <c r="S14" s="35">
        <v>967</v>
      </c>
      <c r="T14" s="35"/>
      <c r="U14" s="35"/>
      <c r="V14" s="35">
        <v>1668</v>
      </c>
      <c r="W14" s="35">
        <v>719</v>
      </c>
      <c r="X14" s="35">
        <v>750</v>
      </c>
      <c r="Y14" s="35">
        <v>744</v>
      </c>
      <c r="Z14" s="35">
        <v>3690</v>
      </c>
      <c r="AA14" s="35">
        <v>49863435</v>
      </c>
      <c r="AB14" s="35">
        <v>217</v>
      </c>
      <c r="AC14" s="35">
        <v>3317</v>
      </c>
      <c r="AD14" s="35">
        <v>180</v>
      </c>
      <c r="AE14" s="35">
        <v>614</v>
      </c>
      <c r="AF14" s="35">
        <v>347</v>
      </c>
      <c r="AG14" s="35">
        <v>38</v>
      </c>
      <c r="AH14" s="35">
        <v>137</v>
      </c>
      <c r="AI14" s="35">
        <v>2326</v>
      </c>
      <c r="AJ14" s="35">
        <v>86</v>
      </c>
      <c r="AK14" s="35" t="s">
        <v>2</v>
      </c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6" hidden="1" x14ac:dyDescent="0.25">
      <c r="A15" s="38" t="s">
        <v>49</v>
      </c>
      <c r="B15" s="39">
        <v>14</v>
      </c>
      <c r="C15" s="38" t="s">
        <v>66</v>
      </c>
      <c r="D15" s="38" t="s">
        <v>13</v>
      </c>
      <c r="E15" s="38" t="s">
        <v>87</v>
      </c>
      <c r="F15" s="38">
        <v>2012</v>
      </c>
      <c r="G15" s="35">
        <v>15407</v>
      </c>
      <c r="H15" s="35">
        <v>6114</v>
      </c>
      <c r="I15" s="35">
        <v>9293</v>
      </c>
      <c r="J15" s="35">
        <v>106909</v>
      </c>
      <c r="K15" s="35">
        <v>249</v>
      </c>
      <c r="L15" s="35">
        <v>37</v>
      </c>
      <c r="M15" s="35">
        <v>70</v>
      </c>
      <c r="N15" s="35">
        <v>11805</v>
      </c>
      <c r="O15" s="35">
        <v>435752.90556573274</v>
      </c>
      <c r="P15" s="35">
        <v>10075</v>
      </c>
      <c r="Q15" s="35">
        <v>15218</v>
      </c>
      <c r="R15" s="35">
        <v>3332</v>
      </c>
      <c r="S15" s="35">
        <v>3293</v>
      </c>
      <c r="T15" s="35"/>
      <c r="U15" s="35"/>
      <c r="V15" s="35">
        <v>5916</v>
      </c>
      <c r="W15" s="35">
        <v>2987</v>
      </c>
      <c r="X15" s="35">
        <v>3123</v>
      </c>
      <c r="Y15" s="35">
        <v>3033</v>
      </c>
      <c r="Z15" s="35">
        <v>15407</v>
      </c>
      <c r="AA15" s="35">
        <v>201017410</v>
      </c>
      <c r="AB15" s="35">
        <v>885</v>
      </c>
      <c r="AC15" s="35">
        <v>13655</v>
      </c>
      <c r="AD15" s="35">
        <v>583</v>
      </c>
      <c r="AE15" s="35">
        <v>2987</v>
      </c>
      <c r="AF15" s="35">
        <v>1888</v>
      </c>
      <c r="AG15" s="35">
        <v>272</v>
      </c>
      <c r="AH15" s="35">
        <v>463</v>
      </c>
      <c r="AI15" s="35">
        <v>34114</v>
      </c>
      <c r="AJ15" s="35">
        <v>580</v>
      </c>
      <c r="AK15" s="35">
        <v>2</v>
      </c>
      <c r="AL15" s="35"/>
      <c r="AM15" s="35"/>
      <c r="AN15" s="35">
        <v>479</v>
      </c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 hidden="1" x14ac:dyDescent="0.25">
      <c r="A16" s="38" t="s">
        <v>49</v>
      </c>
      <c r="B16" s="39">
        <v>15</v>
      </c>
      <c r="C16" s="38" t="s">
        <v>67</v>
      </c>
      <c r="D16" s="38" t="s">
        <v>14</v>
      </c>
      <c r="E16" s="38" t="s">
        <v>87</v>
      </c>
      <c r="F16" s="38">
        <v>2012</v>
      </c>
      <c r="G16" s="35">
        <v>48217</v>
      </c>
      <c r="H16" s="35">
        <v>19660</v>
      </c>
      <c r="I16" s="35">
        <v>28557</v>
      </c>
      <c r="J16" s="35">
        <v>242886</v>
      </c>
      <c r="K16" s="35">
        <v>723</v>
      </c>
      <c r="L16" s="35">
        <v>133</v>
      </c>
      <c r="M16" s="35">
        <v>217</v>
      </c>
      <c r="N16" s="35">
        <v>37457</v>
      </c>
      <c r="O16" s="35">
        <v>905523.85712835006</v>
      </c>
      <c r="P16" s="35">
        <v>25023</v>
      </c>
      <c r="Q16" s="35">
        <v>48565</v>
      </c>
      <c r="R16" s="35">
        <v>10484</v>
      </c>
      <c r="S16" s="35">
        <v>11460</v>
      </c>
      <c r="T16" s="35"/>
      <c r="U16" s="35"/>
      <c r="V16" s="35">
        <v>22509</v>
      </c>
      <c r="W16" s="35">
        <v>9088</v>
      </c>
      <c r="X16" s="35">
        <v>8630</v>
      </c>
      <c r="Y16" s="35">
        <v>6876</v>
      </c>
      <c r="Z16" s="35">
        <v>48217</v>
      </c>
      <c r="AA16" s="35">
        <v>592551256</v>
      </c>
      <c r="AB16" s="35">
        <v>2613</v>
      </c>
      <c r="AC16" s="35">
        <v>42988</v>
      </c>
      <c r="AD16" s="35">
        <v>1595</v>
      </c>
      <c r="AE16" s="35">
        <v>9326</v>
      </c>
      <c r="AF16" s="35">
        <v>3996</v>
      </c>
      <c r="AG16" s="35">
        <v>909</v>
      </c>
      <c r="AH16" s="35">
        <v>1317</v>
      </c>
      <c r="AI16" s="35">
        <v>44733</v>
      </c>
      <c r="AJ16" s="35">
        <v>670</v>
      </c>
      <c r="AK16" s="35">
        <v>7</v>
      </c>
      <c r="AL16" s="35"/>
      <c r="AM16" s="35"/>
      <c r="AN16" s="35">
        <v>2000</v>
      </c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 hidden="1" x14ac:dyDescent="0.25">
      <c r="A17" s="38" t="s">
        <v>49</v>
      </c>
      <c r="B17" s="39">
        <v>16</v>
      </c>
      <c r="C17" s="38" t="s">
        <v>68</v>
      </c>
      <c r="D17" s="38" t="s">
        <v>30</v>
      </c>
      <c r="E17" s="38" t="s">
        <v>87</v>
      </c>
      <c r="F17" s="38">
        <v>2012</v>
      </c>
      <c r="G17" s="35">
        <v>12293</v>
      </c>
      <c r="H17" s="35">
        <v>5099</v>
      </c>
      <c r="I17" s="35">
        <v>7194</v>
      </c>
      <c r="J17" s="35">
        <v>63423</v>
      </c>
      <c r="K17" s="35">
        <v>237</v>
      </c>
      <c r="L17" s="35">
        <v>48</v>
      </c>
      <c r="M17" s="35">
        <v>62</v>
      </c>
      <c r="N17" s="35">
        <v>9265</v>
      </c>
      <c r="O17" s="35">
        <v>270428.32494369015</v>
      </c>
      <c r="P17" s="35">
        <v>6739</v>
      </c>
      <c r="Q17" s="35">
        <v>12071</v>
      </c>
      <c r="R17" s="35">
        <v>2619</v>
      </c>
      <c r="S17" s="35">
        <v>2039</v>
      </c>
      <c r="T17" s="35"/>
      <c r="U17" s="35"/>
      <c r="V17" s="35">
        <v>4986</v>
      </c>
      <c r="W17" s="35">
        <v>2285</v>
      </c>
      <c r="X17" s="35">
        <v>2112</v>
      </c>
      <c r="Y17" s="35">
        <v>1958</v>
      </c>
      <c r="Z17" s="35">
        <v>12293</v>
      </c>
      <c r="AA17" s="35">
        <v>163225447</v>
      </c>
      <c r="AB17" s="35">
        <v>490</v>
      </c>
      <c r="AC17" s="35">
        <v>10820</v>
      </c>
      <c r="AD17" s="35">
        <v>450</v>
      </c>
      <c r="AE17" s="35">
        <v>2214</v>
      </c>
      <c r="AF17" s="35">
        <v>940</v>
      </c>
      <c r="AG17" s="35">
        <v>196</v>
      </c>
      <c r="AH17" s="35">
        <v>357</v>
      </c>
      <c r="AI17" s="35">
        <v>7708</v>
      </c>
      <c r="AJ17" s="35">
        <v>150</v>
      </c>
      <c r="AK17" s="35" t="s">
        <v>2</v>
      </c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</row>
    <row r="18" spans="1:56" hidden="1" x14ac:dyDescent="0.25">
      <c r="A18" s="38" t="s">
        <v>49</v>
      </c>
      <c r="B18" s="39">
        <v>17</v>
      </c>
      <c r="C18" s="38" t="s">
        <v>69</v>
      </c>
      <c r="D18" s="38" t="s">
        <v>15</v>
      </c>
      <c r="E18" s="38" t="s">
        <v>87</v>
      </c>
      <c r="F18" s="38">
        <v>2012</v>
      </c>
      <c r="G18" s="35">
        <v>5012</v>
      </c>
      <c r="H18" s="35">
        <v>2002</v>
      </c>
      <c r="I18" s="35">
        <v>3010</v>
      </c>
      <c r="J18" s="35">
        <v>30555</v>
      </c>
      <c r="K18" s="35">
        <v>60</v>
      </c>
      <c r="L18" s="35">
        <v>17</v>
      </c>
      <c r="M18" s="35">
        <v>12</v>
      </c>
      <c r="N18" s="35">
        <v>4234</v>
      </c>
      <c r="O18" s="35">
        <v>104617.93567797635</v>
      </c>
      <c r="P18" s="35">
        <v>3222</v>
      </c>
      <c r="Q18" s="35">
        <v>5052</v>
      </c>
      <c r="R18" s="35">
        <v>1155</v>
      </c>
      <c r="S18" s="35">
        <v>803</v>
      </c>
      <c r="T18" s="35"/>
      <c r="U18" s="35"/>
      <c r="V18" s="35">
        <v>2032</v>
      </c>
      <c r="W18" s="35">
        <v>1059</v>
      </c>
      <c r="X18" s="35">
        <v>962</v>
      </c>
      <c r="Y18" s="35">
        <v>809</v>
      </c>
      <c r="Z18" s="35">
        <v>5012</v>
      </c>
      <c r="AA18" s="35">
        <v>56023818</v>
      </c>
      <c r="AB18" s="35">
        <v>252</v>
      </c>
      <c r="AC18" s="35">
        <v>4630</v>
      </c>
      <c r="AD18" s="35">
        <v>266</v>
      </c>
      <c r="AE18" s="35">
        <v>988</v>
      </c>
      <c r="AF18" s="35">
        <v>515</v>
      </c>
      <c r="AG18" s="35">
        <v>77</v>
      </c>
      <c r="AH18" s="35">
        <v>106</v>
      </c>
      <c r="AI18" s="35">
        <v>5342</v>
      </c>
      <c r="AJ18" s="35">
        <v>8</v>
      </c>
      <c r="AK18" s="35">
        <v>2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</row>
    <row r="19" spans="1:56" hidden="1" x14ac:dyDescent="0.25">
      <c r="A19" s="38" t="s">
        <v>49</v>
      </c>
      <c r="B19" s="39">
        <v>18</v>
      </c>
      <c r="C19" s="38" t="s">
        <v>70</v>
      </c>
      <c r="D19" s="38" t="s">
        <v>16</v>
      </c>
      <c r="E19" s="38" t="s">
        <v>87</v>
      </c>
      <c r="F19" s="38">
        <v>2012</v>
      </c>
      <c r="G19" s="35">
        <v>3043</v>
      </c>
      <c r="H19" s="35">
        <v>1267</v>
      </c>
      <c r="I19" s="35">
        <v>1776</v>
      </c>
      <c r="J19" s="35">
        <v>17116</v>
      </c>
      <c r="K19" s="35">
        <v>35</v>
      </c>
      <c r="L19" s="35">
        <v>7</v>
      </c>
      <c r="M19" s="35">
        <v>7</v>
      </c>
      <c r="N19" s="35">
        <v>2756</v>
      </c>
      <c r="O19" s="35">
        <v>65043.64849579391</v>
      </c>
      <c r="P19" s="35">
        <v>1645</v>
      </c>
      <c r="Q19" s="35">
        <v>3029</v>
      </c>
      <c r="R19" s="35">
        <v>727</v>
      </c>
      <c r="S19" s="35">
        <v>966</v>
      </c>
      <c r="T19" s="35"/>
      <c r="U19" s="35"/>
      <c r="V19" s="35">
        <v>1259</v>
      </c>
      <c r="W19" s="35">
        <v>692</v>
      </c>
      <c r="X19" s="35">
        <v>504</v>
      </c>
      <c r="Y19" s="35">
        <v>488</v>
      </c>
      <c r="Z19" s="35">
        <v>3043</v>
      </c>
      <c r="AA19" s="35">
        <v>42086753</v>
      </c>
      <c r="AB19" s="35">
        <v>122</v>
      </c>
      <c r="AC19" s="35">
        <v>2727</v>
      </c>
      <c r="AD19" s="35">
        <v>141</v>
      </c>
      <c r="AE19" s="35">
        <v>476</v>
      </c>
      <c r="AF19" s="35">
        <v>334</v>
      </c>
      <c r="AG19" s="35">
        <v>34</v>
      </c>
      <c r="AH19" s="35">
        <v>75</v>
      </c>
      <c r="AI19" s="35">
        <v>1997</v>
      </c>
      <c r="AJ19" s="35">
        <v>1</v>
      </c>
      <c r="AK19" s="35" t="s">
        <v>2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56" hidden="1" x14ac:dyDescent="0.25">
      <c r="A20" s="38" t="s">
        <v>49</v>
      </c>
      <c r="B20" s="39">
        <v>19</v>
      </c>
      <c r="C20" s="38" t="s">
        <v>71</v>
      </c>
      <c r="D20" s="38" t="s">
        <v>17</v>
      </c>
      <c r="E20" s="38" t="s">
        <v>87</v>
      </c>
      <c r="F20" s="38">
        <v>2012</v>
      </c>
      <c r="G20" s="35">
        <v>16396</v>
      </c>
      <c r="H20" s="35">
        <v>7296</v>
      </c>
      <c r="I20" s="35">
        <v>9100</v>
      </c>
      <c r="J20" s="35">
        <v>71017</v>
      </c>
      <c r="K20" s="35">
        <v>184</v>
      </c>
      <c r="L20" s="35">
        <v>49</v>
      </c>
      <c r="M20" s="35">
        <v>60</v>
      </c>
      <c r="N20" s="35">
        <v>13599</v>
      </c>
      <c r="O20" s="35">
        <v>256685.14683603484</v>
      </c>
      <c r="P20" s="35">
        <v>9824</v>
      </c>
      <c r="Q20" s="35">
        <v>15337</v>
      </c>
      <c r="R20" s="35">
        <v>3317</v>
      </c>
      <c r="S20" s="35">
        <v>4523</v>
      </c>
      <c r="T20" s="35"/>
      <c r="U20" s="35"/>
      <c r="V20" s="35">
        <v>6548</v>
      </c>
      <c r="W20" s="35">
        <v>3069</v>
      </c>
      <c r="X20" s="35">
        <v>2744</v>
      </c>
      <c r="Y20" s="35">
        <v>2658</v>
      </c>
      <c r="Z20" s="35">
        <v>16396</v>
      </c>
      <c r="AA20" s="35">
        <v>163658445</v>
      </c>
      <c r="AB20" s="35">
        <v>880</v>
      </c>
      <c r="AC20" s="35">
        <v>13728</v>
      </c>
      <c r="AD20" s="35">
        <v>602</v>
      </c>
      <c r="AE20" s="35">
        <v>1509</v>
      </c>
      <c r="AF20" s="35">
        <v>1827</v>
      </c>
      <c r="AG20" s="35">
        <v>223</v>
      </c>
      <c r="AH20" s="35">
        <v>264</v>
      </c>
      <c r="AI20" s="35">
        <v>57312</v>
      </c>
      <c r="AJ20" s="35">
        <v>1562</v>
      </c>
      <c r="AK20" s="35">
        <v>2</v>
      </c>
      <c r="AL20" s="35"/>
      <c r="AM20" s="35"/>
      <c r="AN20" s="35">
        <v>847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1:56" hidden="1" x14ac:dyDescent="0.25">
      <c r="A21" s="38" t="s">
        <v>50</v>
      </c>
      <c r="B21" s="39">
        <v>20</v>
      </c>
      <c r="C21" s="38" t="s">
        <v>85</v>
      </c>
      <c r="D21" s="38" t="s">
        <v>28</v>
      </c>
      <c r="E21" s="38" t="s">
        <v>87</v>
      </c>
      <c r="F21" s="38">
        <v>2012</v>
      </c>
      <c r="G21" s="35">
        <v>6750</v>
      </c>
      <c r="H21" s="35">
        <v>2691</v>
      </c>
      <c r="I21" s="35">
        <v>4059</v>
      </c>
      <c r="J21" s="35">
        <v>64635</v>
      </c>
      <c r="K21" s="35">
        <v>108</v>
      </c>
      <c r="L21" s="35">
        <v>12</v>
      </c>
      <c r="M21" s="35">
        <v>32</v>
      </c>
      <c r="N21" s="35">
        <v>5279</v>
      </c>
      <c r="O21" s="35">
        <v>244700.14959654724</v>
      </c>
      <c r="P21" s="35">
        <v>3569</v>
      </c>
      <c r="Q21" s="35">
        <v>6489</v>
      </c>
      <c r="R21" s="35">
        <v>1288</v>
      </c>
      <c r="S21" s="35">
        <v>1939</v>
      </c>
      <c r="T21" s="35"/>
      <c r="U21" s="35"/>
      <c r="V21" s="35">
        <v>2520</v>
      </c>
      <c r="W21" s="35">
        <v>1152</v>
      </c>
      <c r="X21" s="35">
        <v>1231</v>
      </c>
      <c r="Y21" s="35">
        <v>1041</v>
      </c>
      <c r="Z21" s="35"/>
      <c r="AA21" s="35"/>
      <c r="AB21" s="35">
        <v>405</v>
      </c>
      <c r="AC21" s="35">
        <v>5995</v>
      </c>
      <c r="AD21" s="35">
        <v>228</v>
      </c>
      <c r="AE21" s="35">
        <v>760</v>
      </c>
      <c r="AF21" s="35">
        <v>460</v>
      </c>
      <c r="AG21" s="35">
        <v>79</v>
      </c>
      <c r="AH21" s="35">
        <v>202</v>
      </c>
      <c r="AI21" s="35">
        <v>2163</v>
      </c>
      <c r="AJ21" s="35">
        <v>10</v>
      </c>
      <c r="AK21" s="35" t="s">
        <v>2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1:56" hidden="1" x14ac:dyDescent="0.25">
      <c r="A22" s="38" t="s">
        <v>49</v>
      </c>
      <c r="B22" s="39">
        <v>21</v>
      </c>
      <c r="C22" s="38" t="s">
        <v>72</v>
      </c>
      <c r="D22" s="38" t="s">
        <v>18</v>
      </c>
      <c r="E22" s="38" t="s">
        <v>87</v>
      </c>
      <c r="F22" s="38">
        <v>2012</v>
      </c>
      <c r="G22" s="35">
        <v>7539</v>
      </c>
      <c r="H22" s="35">
        <v>2816</v>
      </c>
      <c r="I22" s="35">
        <v>4723</v>
      </c>
      <c r="J22" s="35">
        <v>98190</v>
      </c>
      <c r="K22" s="35">
        <v>144</v>
      </c>
      <c r="L22" s="35">
        <v>39</v>
      </c>
      <c r="M22" s="35">
        <v>55</v>
      </c>
      <c r="N22" s="35">
        <v>6383</v>
      </c>
      <c r="O22" s="35">
        <v>368172.44746360031</v>
      </c>
      <c r="P22" s="35">
        <v>4459</v>
      </c>
      <c r="Q22" s="35">
        <v>7684</v>
      </c>
      <c r="R22" s="35">
        <v>1841</v>
      </c>
      <c r="S22" s="35">
        <v>1043</v>
      </c>
      <c r="T22" s="35"/>
      <c r="U22" s="35"/>
      <c r="V22" s="35">
        <v>3020</v>
      </c>
      <c r="W22" s="35">
        <v>1621</v>
      </c>
      <c r="X22" s="35">
        <v>1588</v>
      </c>
      <c r="Y22" s="35">
        <v>1530</v>
      </c>
      <c r="Z22" s="35">
        <v>7539</v>
      </c>
      <c r="AA22" s="35">
        <v>117736744</v>
      </c>
      <c r="AB22" s="35">
        <v>411</v>
      </c>
      <c r="AC22" s="35">
        <v>7195</v>
      </c>
      <c r="AD22" s="35">
        <v>295</v>
      </c>
      <c r="AE22" s="35">
        <v>1536</v>
      </c>
      <c r="AF22" s="35">
        <v>1035</v>
      </c>
      <c r="AG22" s="35">
        <v>205</v>
      </c>
      <c r="AH22" s="35">
        <v>200</v>
      </c>
      <c r="AI22" s="35">
        <v>9486</v>
      </c>
      <c r="AJ22" s="35">
        <v>37</v>
      </c>
      <c r="AK22" s="35">
        <v>2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1:56" hidden="1" x14ac:dyDescent="0.25">
      <c r="A23" s="38" t="s">
        <v>49</v>
      </c>
      <c r="B23" s="39">
        <v>22</v>
      </c>
      <c r="C23" s="38" t="s">
        <v>73</v>
      </c>
      <c r="D23" s="38" t="s">
        <v>29</v>
      </c>
      <c r="E23" s="38" t="s">
        <v>87</v>
      </c>
      <c r="F23" s="38">
        <v>2012</v>
      </c>
      <c r="G23" s="35">
        <v>3014</v>
      </c>
      <c r="H23" s="35">
        <v>1219</v>
      </c>
      <c r="I23" s="35">
        <v>1795</v>
      </c>
      <c r="J23" s="35">
        <v>28090</v>
      </c>
      <c r="K23" s="35">
        <v>44</v>
      </c>
      <c r="L23" s="35">
        <v>9</v>
      </c>
      <c r="M23" s="35">
        <v>21</v>
      </c>
      <c r="N23" s="35">
        <v>2530</v>
      </c>
      <c r="O23" s="35">
        <v>113259.35666997568</v>
      </c>
      <c r="P23" s="35">
        <v>2367</v>
      </c>
      <c r="Q23" s="35">
        <v>2914</v>
      </c>
      <c r="R23" s="35">
        <v>682</v>
      </c>
      <c r="S23" s="35">
        <v>701</v>
      </c>
      <c r="T23" s="35"/>
      <c r="U23" s="35"/>
      <c r="V23" s="35">
        <v>1063</v>
      </c>
      <c r="W23" s="35">
        <v>606</v>
      </c>
      <c r="X23" s="35">
        <v>674</v>
      </c>
      <c r="Y23" s="35">
        <v>626</v>
      </c>
      <c r="Z23" s="35">
        <v>3014</v>
      </c>
      <c r="AA23" s="35">
        <v>36057782</v>
      </c>
      <c r="AB23" s="35">
        <v>235</v>
      </c>
      <c r="AC23" s="35">
        <v>2763</v>
      </c>
      <c r="AD23" s="35">
        <v>206</v>
      </c>
      <c r="AE23" s="35">
        <v>527</v>
      </c>
      <c r="AF23" s="35">
        <v>283</v>
      </c>
      <c r="AG23" s="35">
        <v>62</v>
      </c>
      <c r="AH23" s="35">
        <v>82</v>
      </c>
      <c r="AI23" s="35">
        <v>6562</v>
      </c>
      <c r="AJ23" s="35">
        <v>83</v>
      </c>
      <c r="AK23" s="35" t="s">
        <v>2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 hidden="1" x14ac:dyDescent="0.25">
      <c r="A24" s="38" t="s">
        <v>49</v>
      </c>
      <c r="B24" s="39">
        <v>23</v>
      </c>
      <c r="C24" s="38" t="s">
        <v>74</v>
      </c>
      <c r="D24" s="38" t="s">
        <v>19</v>
      </c>
      <c r="E24" s="38" t="s">
        <v>87</v>
      </c>
      <c r="F24" s="38">
        <v>2012</v>
      </c>
      <c r="G24" s="35">
        <v>8685</v>
      </c>
      <c r="H24" s="35">
        <v>3687</v>
      </c>
      <c r="I24" s="35">
        <v>4998</v>
      </c>
      <c r="J24" s="35">
        <v>22070</v>
      </c>
      <c r="K24" s="35">
        <v>104</v>
      </c>
      <c r="L24" s="35">
        <v>16</v>
      </c>
      <c r="M24" s="35">
        <v>29</v>
      </c>
      <c r="N24" s="35">
        <v>6630</v>
      </c>
      <c r="O24" s="35">
        <v>79915.394881891494</v>
      </c>
      <c r="P24" s="35">
        <v>4757</v>
      </c>
      <c r="Q24" s="35">
        <v>8310</v>
      </c>
      <c r="R24" s="35">
        <v>2143</v>
      </c>
      <c r="S24" s="35">
        <v>1713</v>
      </c>
      <c r="T24" s="35"/>
      <c r="U24" s="35"/>
      <c r="V24" s="35">
        <v>3615</v>
      </c>
      <c r="W24" s="35">
        <v>1943</v>
      </c>
      <c r="X24" s="35">
        <v>1543</v>
      </c>
      <c r="Y24" s="35">
        <v>1453</v>
      </c>
      <c r="Z24" s="35">
        <v>8685</v>
      </c>
      <c r="AA24" s="35">
        <v>79228139</v>
      </c>
      <c r="AB24" s="35">
        <v>424</v>
      </c>
      <c r="AC24" s="35">
        <v>7656</v>
      </c>
      <c r="AD24" s="35">
        <v>248</v>
      </c>
      <c r="AE24" s="35">
        <v>882</v>
      </c>
      <c r="AF24" s="35">
        <v>704</v>
      </c>
      <c r="AG24" s="35">
        <v>76</v>
      </c>
      <c r="AH24" s="35">
        <v>126</v>
      </c>
      <c r="AI24" s="35">
        <v>12321</v>
      </c>
      <c r="AJ24" s="35">
        <v>16</v>
      </c>
      <c r="AK24" s="35" t="s">
        <v>2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 hidden="1" x14ac:dyDescent="0.25">
      <c r="A25" s="38" t="s">
        <v>49</v>
      </c>
      <c r="B25" s="39">
        <v>24</v>
      </c>
      <c r="C25" s="38" t="s">
        <v>75</v>
      </c>
      <c r="D25" s="38" t="s">
        <v>20</v>
      </c>
      <c r="E25" s="38" t="s">
        <v>87</v>
      </c>
      <c r="F25" s="38">
        <v>2012</v>
      </c>
      <c r="G25" s="35">
        <v>5478</v>
      </c>
      <c r="H25" s="35">
        <v>2196</v>
      </c>
      <c r="I25" s="35">
        <v>3282</v>
      </c>
      <c r="J25" s="35">
        <v>44949</v>
      </c>
      <c r="K25" s="35">
        <v>84</v>
      </c>
      <c r="L25" s="35">
        <v>24</v>
      </c>
      <c r="M25" s="35">
        <v>28</v>
      </c>
      <c r="N25" s="35">
        <v>4489</v>
      </c>
      <c r="O25" s="35">
        <v>162721.95294879421</v>
      </c>
      <c r="P25" s="35">
        <v>2938</v>
      </c>
      <c r="Q25" s="35">
        <v>5457</v>
      </c>
      <c r="R25" s="35">
        <v>1063</v>
      </c>
      <c r="S25" s="35">
        <v>1915</v>
      </c>
      <c r="T25" s="35"/>
      <c r="U25" s="35"/>
      <c r="V25" s="35">
        <v>2168</v>
      </c>
      <c r="W25" s="35">
        <v>951</v>
      </c>
      <c r="X25" s="35">
        <v>882</v>
      </c>
      <c r="Y25" s="35">
        <v>826</v>
      </c>
      <c r="Z25" s="35">
        <v>5478</v>
      </c>
      <c r="AA25" s="35">
        <v>68158288</v>
      </c>
      <c r="AB25" s="35">
        <v>341</v>
      </c>
      <c r="AC25" s="35">
        <v>4763</v>
      </c>
      <c r="AD25" s="35">
        <v>276</v>
      </c>
      <c r="AE25" s="35">
        <v>760</v>
      </c>
      <c r="AF25" s="35">
        <v>445</v>
      </c>
      <c r="AG25" s="35">
        <v>169</v>
      </c>
      <c r="AH25" s="35">
        <v>147</v>
      </c>
      <c r="AI25" s="35">
        <v>10960</v>
      </c>
      <c r="AJ25" s="35">
        <v>170</v>
      </c>
      <c r="AK25" s="35" t="s">
        <v>2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1:56" hidden="1" x14ac:dyDescent="0.25">
      <c r="A26" s="38" t="s">
        <v>49</v>
      </c>
      <c r="B26" s="39">
        <v>25</v>
      </c>
      <c r="C26" s="38" t="s">
        <v>76</v>
      </c>
      <c r="D26" s="38" t="s">
        <v>21</v>
      </c>
      <c r="E26" s="38" t="s">
        <v>87</v>
      </c>
      <c r="F26" s="38">
        <v>2012</v>
      </c>
      <c r="G26" s="35">
        <v>9564</v>
      </c>
      <c r="H26" s="35">
        <v>3935</v>
      </c>
      <c r="I26" s="35">
        <v>5629</v>
      </c>
      <c r="J26" s="35">
        <v>45264</v>
      </c>
      <c r="K26" s="35">
        <v>171</v>
      </c>
      <c r="L26" s="35">
        <v>40</v>
      </c>
      <c r="M26" s="35">
        <v>44</v>
      </c>
      <c r="N26" s="35">
        <v>8117</v>
      </c>
      <c r="O26" s="35">
        <v>166975.11134791601</v>
      </c>
      <c r="P26" s="35">
        <v>4827</v>
      </c>
      <c r="Q26" s="35">
        <v>9080</v>
      </c>
      <c r="R26" s="35">
        <v>2190</v>
      </c>
      <c r="S26" s="35">
        <v>2430</v>
      </c>
      <c r="T26" s="35"/>
      <c r="U26" s="35"/>
      <c r="V26" s="35">
        <v>3176</v>
      </c>
      <c r="W26" s="35">
        <v>2090</v>
      </c>
      <c r="X26" s="35">
        <v>2057</v>
      </c>
      <c r="Y26" s="35">
        <v>2052</v>
      </c>
      <c r="Z26" s="35">
        <v>9564</v>
      </c>
      <c r="AA26" s="35">
        <v>173106212</v>
      </c>
      <c r="AB26" s="35">
        <v>590</v>
      </c>
      <c r="AC26" s="35">
        <v>8408</v>
      </c>
      <c r="AD26" s="35">
        <v>494</v>
      </c>
      <c r="AE26" s="35">
        <v>1849</v>
      </c>
      <c r="AF26" s="35">
        <v>957</v>
      </c>
      <c r="AG26" s="35">
        <v>197</v>
      </c>
      <c r="AH26" s="35">
        <v>405</v>
      </c>
      <c r="AI26" s="35">
        <v>11683</v>
      </c>
      <c r="AJ26" s="35">
        <v>93</v>
      </c>
      <c r="AK26" s="35" t="s">
        <v>2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 hidden="1" x14ac:dyDescent="0.25">
      <c r="A27" s="38" t="s">
        <v>49</v>
      </c>
      <c r="B27" s="39">
        <v>26</v>
      </c>
      <c r="C27" s="38" t="s">
        <v>77</v>
      </c>
      <c r="D27" s="38" t="s">
        <v>22</v>
      </c>
      <c r="E27" s="38" t="s">
        <v>87</v>
      </c>
      <c r="F27" s="38">
        <v>2012</v>
      </c>
      <c r="G27" s="35">
        <v>12561</v>
      </c>
      <c r="H27" s="35">
        <v>5124</v>
      </c>
      <c r="I27" s="35">
        <v>7437</v>
      </c>
      <c r="J27" s="35">
        <v>42230</v>
      </c>
      <c r="K27" s="35">
        <v>223</v>
      </c>
      <c r="L27" s="35">
        <v>45</v>
      </c>
      <c r="M27" s="35">
        <v>60</v>
      </c>
      <c r="N27" s="35">
        <v>10479</v>
      </c>
      <c r="O27" s="35">
        <v>156315.86238266551</v>
      </c>
      <c r="P27" s="35">
        <v>5531</v>
      </c>
      <c r="Q27" s="35">
        <v>13196</v>
      </c>
      <c r="R27" s="35">
        <v>2333</v>
      </c>
      <c r="S27" s="35">
        <v>5010</v>
      </c>
      <c r="T27" s="35"/>
      <c r="U27" s="35"/>
      <c r="V27" s="35">
        <v>5253</v>
      </c>
      <c r="W27" s="35">
        <v>2121</v>
      </c>
      <c r="X27" s="35">
        <v>2103</v>
      </c>
      <c r="Y27" s="35">
        <v>1881</v>
      </c>
      <c r="Z27" s="35">
        <v>12561</v>
      </c>
      <c r="AA27" s="35">
        <v>177838898</v>
      </c>
      <c r="AB27" s="35">
        <v>42</v>
      </c>
      <c r="AC27" s="35">
        <v>11409</v>
      </c>
      <c r="AD27" s="35">
        <v>630</v>
      </c>
      <c r="AE27" s="35">
        <v>1775</v>
      </c>
      <c r="AF27" s="35">
        <v>961</v>
      </c>
      <c r="AG27" s="35">
        <v>246</v>
      </c>
      <c r="AH27" s="35">
        <v>407</v>
      </c>
      <c r="AI27" s="35">
        <v>15470</v>
      </c>
      <c r="AJ27" s="35">
        <v>101</v>
      </c>
      <c r="AK27" s="35" t="s">
        <v>2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 hidden="1" x14ac:dyDescent="0.25">
      <c r="A28" s="38" t="s">
        <v>49</v>
      </c>
      <c r="B28" s="39">
        <v>27</v>
      </c>
      <c r="C28" s="38" t="s">
        <v>78</v>
      </c>
      <c r="D28" s="38" t="s">
        <v>23</v>
      </c>
      <c r="E28" s="38" t="s">
        <v>87</v>
      </c>
      <c r="F28" s="38">
        <v>2012</v>
      </c>
      <c r="G28" s="35">
        <v>5305</v>
      </c>
      <c r="H28" s="35">
        <v>2213</v>
      </c>
      <c r="I28" s="35">
        <v>3092</v>
      </c>
      <c r="J28" s="35">
        <v>36810</v>
      </c>
      <c r="K28" s="35">
        <v>76</v>
      </c>
      <c r="L28" s="35">
        <v>24</v>
      </c>
      <c r="M28" s="35">
        <v>26</v>
      </c>
      <c r="N28" s="35">
        <v>4446</v>
      </c>
      <c r="O28" s="35">
        <v>135006.4916160994</v>
      </c>
      <c r="P28" s="35">
        <v>2330</v>
      </c>
      <c r="Q28" s="35">
        <v>5040</v>
      </c>
      <c r="R28" s="35">
        <v>1220</v>
      </c>
      <c r="S28" s="35">
        <v>905</v>
      </c>
      <c r="T28" s="35"/>
      <c r="U28" s="35"/>
      <c r="V28" s="35">
        <v>2186</v>
      </c>
      <c r="W28" s="35">
        <v>1080</v>
      </c>
      <c r="X28" s="35">
        <v>1149</v>
      </c>
      <c r="Y28" s="35">
        <v>1121</v>
      </c>
      <c r="Z28" s="35">
        <v>5305</v>
      </c>
      <c r="AA28" s="35">
        <v>89213480</v>
      </c>
      <c r="AB28" s="35">
        <v>304</v>
      </c>
      <c r="AC28" s="35">
        <v>4658</v>
      </c>
      <c r="AD28" s="35">
        <v>290</v>
      </c>
      <c r="AE28" s="35">
        <v>742</v>
      </c>
      <c r="AF28" s="35">
        <v>388</v>
      </c>
      <c r="AG28" s="35">
        <v>85</v>
      </c>
      <c r="AH28" s="35">
        <v>170</v>
      </c>
      <c r="AI28" s="35">
        <v>4008</v>
      </c>
      <c r="AJ28" s="35">
        <v>0</v>
      </c>
      <c r="AK28" s="35" t="s">
        <v>2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6" hidden="1" x14ac:dyDescent="0.25">
      <c r="A29" s="38" t="s">
        <v>49</v>
      </c>
      <c r="B29" s="39">
        <v>28</v>
      </c>
      <c r="C29" s="38" t="s">
        <v>79</v>
      </c>
      <c r="D29" s="38" t="s">
        <v>24</v>
      </c>
      <c r="E29" s="38" t="s">
        <v>87</v>
      </c>
      <c r="F29" s="38">
        <v>2012</v>
      </c>
      <c r="G29" s="35">
        <v>8923</v>
      </c>
      <c r="H29" s="35">
        <v>4147</v>
      </c>
      <c r="I29" s="35">
        <v>4776</v>
      </c>
      <c r="J29" s="35">
        <v>46139</v>
      </c>
      <c r="K29" s="35">
        <v>140</v>
      </c>
      <c r="L29" s="35">
        <v>25</v>
      </c>
      <c r="M29" s="35">
        <v>47</v>
      </c>
      <c r="N29" s="35">
        <v>7462</v>
      </c>
      <c r="O29" s="35">
        <v>184782.07158093911</v>
      </c>
      <c r="P29" s="35">
        <v>4907</v>
      </c>
      <c r="Q29" s="35">
        <v>8177</v>
      </c>
      <c r="R29" s="35">
        <v>1926</v>
      </c>
      <c r="S29" s="35">
        <v>2193</v>
      </c>
      <c r="T29" s="35"/>
      <c r="U29" s="35"/>
      <c r="V29" s="35">
        <v>3579</v>
      </c>
      <c r="W29" s="35">
        <v>1817</v>
      </c>
      <c r="X29" s="35">
        <v>1747</v>
      </c>
      <c r="Y29" s="35">
        <v>1715</v>
      </c>
      <c r="Z29" s="35">
        <v>8923</v>
      </c>
      <c r="AA29" s="35">
        <v>137343621</v>
      </c>
      <c r="AB29" s="35">
        <v>412</v>
      </c>
      <c r="AC29" s="35">
        <v>7526</v>
      </c>
      <c r="AD29" s="35">
        <v>420</v>
      </c>
      <c r="AE29" s="35">
        <v>1056</v>
      </c>
      <c r="AF29" s="35">
        <v>958</v>
      </c>
      <c r="AG29" s="35">
        <v>128</v>
      </c>
      <c r="AH29" s="35">
        <v>277</v>
      </c>
      <c r="AI29" s="35">
        <v>20257</v>
      </c>
      <c r="AJ29" s="35">
        <v>622</v>
      </c>
      <c r="AK29" s="35">
        <v>3</v>
      </c>
      <c r="AL29" s="35"/>
      <c r="AM29" s="35"/>
      <c r="AN29" s="35">
        <v>15</v>
      </c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</row>
    <row r="30" spans="1:56" hidden="1" x14ac:dyDescent="0.25">
      <c r="A30" s="38" t="s">
        <v>49</v>
      </c>
      <c r="B30" s="39">
        <v>29</v>
      </c>
      <c r="C30" s="38" t="s">
        <v>80</v>
      </c>
      <c r="D30" s="38" t="s">
        <v>25</v>
      </c>
      <c r="E30" s="38" t="s">
        <v>87</v>
      </c>
      <c r="F30" s="38">
        <v>2012</v>
      </c>
      <c r="G30" s="35">
        <v>3109</v>
      </c>
      <c r="H30" s="35">
        <v>1332</v>
      </c>
      <c r="I30" s="35">
        <v>1777</v>
      </c>
      <c r="J30" s="35">
        <v>23065</v>
      </c>
      <c r="K30" s="35">
        <v>42</v>
      </c>
      <c r="L30" s="35">
        <v>12</v>
      </c>
      <c r="M30" s="35">
        <v>16</v>
      </c>
      <c r="N30" s="35">
        <v>2569</v>
      </c>
      <c r="O30" s="35">
        <v>72843.924734240776</v>
      </c>
      <c r="P30" s="35">
        <v>1638</v>
      </c>
      <c r="Q30" s="35">
        <v>2587</v>
      </c>
      <c r="R30" s="35">
        <v>621</v>
      </c>
      <c r="S30" s="35">
        <v>329</v>
      </c>
      <c r="T30" s="35"/>
      <c r="U30" s="35"/>
      <c r="V30" s="35">
        <v>985</v>
      </c>
      <c r="W30" s="35">
        <v>571</v>
      </c>
      <c r="X30" s="35">
        <v>573</v>
      </c>
      <c r="Y30" s="35">
        <v>569</v>
      </c>
      <c r="Z30" s="35">
        <v>3109</v>
      </c>
      <c r="AA30" s="35">
        <v>33240372</v>
      </c>
      <c r="AB30" s="35">
        <v>205</v>
      </c>
      <c r="AC30" s="35">
        <v>2463</v>
      </c>
      <c r="AD30" s="35">
        <v>156</v>
      </c>
      <c r="AE30" s="35">
        <v>748</v>
      </c>
      <c r="AF30" s="35">
        <v>401</v>
      </c>
      <c r="AG30" s="35">
        <v>49</v>
      </c>
      <c r="AH30" s="35">
        <v>67</v>
      </c>
      <c r="AI30" s="35">
        <v>2039</v>
      </c>
      <c r="AJ30" s="35">
        <v>7</v>
      </c>
      <c r="AK30" s="35" t="s">
        <v>2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</row>
    <row r="31" spans="1:56" hidden="1" x14ac:dyDescent="0.25">
      <c r="A31" s="38" t="s">
        <v>49</v>
      </c>
      <c r="B31" s="39">
        <v>30</v>
      </c>
      <c r="C31" s="38" t="s">
        <v>81</v>
      </c>
      <c r="D31" s="38" t="s">
        <v>53</v>
      </c>
      <c r="E31" s="38" t="s">
        <v>87</v>
      </c>
      <c r="F31" s="38">
        <v>2012</v>
      </c>
      <c r="G31" s="35">
        <v>9255</v>
      </c>
      <c r="H31" s="35">
        <v>3711</v>
      </c>
      <c r="I31" s="35">
        <v>5544</v>
      </c>
      <c r="J31" s="35">
        <v>119985</v>
      </c>
      <c r="K31" s="35">
        <v>164</v>
      </c>
      <c r="L31" s="35">
        <v>39</v>
      </c>
      <c r="M31" s="35">
        <v>83</v>
      </c>
      <c r="N31" s="35">
        <v>7867</v>
      </c>
      <c r="O31" s="35">
        <v>459028.2415179275</v>
      </c>
      <c r="P31" s="35">
        <v>5514</v>
      </c>
      <c r="Q31" s="35">
        <v>9257</v>
      </c>
      <c r="R31" s="35">
        <v>2375</v>
      </c>
      <c r="S31" s="35">
        <v>2033</v>
      </c>
      <c r="T31" s="35"/>
      <c r="U31" s="35"/>
      <c r="V31" s="35">
        <v>3772</v>
      </c>
      <c r="W31" s="35">
        <v>2128</v>
      </c>
      <c r="X31" s="35">
        <v>2317</v>
      </c>
      <c r="Y31" s="35">
        <v>2202</v>
      </c>
      <c r="Z31" s="35">
        <v>9255</v>
      </c>
      <c r="AA31" s="35">
        <v>177451974</v>
      </c>
      <c r="AB31" s="35">
        <v>589</v>
      </c>
      <c r="AC31" s="35">
        <v>8668</v>
      </c>
      <c r="AD31" s="35">
        <v>389</v>
      </c>
      <c r="AE31" s="35">
        <v>1290</v>
      </c>
      <c r="AF31" s="35">
        <v>1350</v>
      </c>
      <c r="AG31" s="35">
        <v>219</v>
      </c>
      <c r="AH31" s="35">
        <v>377</v>
      </c>
      <c r="AI31" s="35">
        <v>14349</v>
      </c>
      <c r="AJ31" s="35">
        <v>280</v>
      </c>
      <c r="AK31" s="35">
        <v>1</v>
      </c>
      <c r="AL31" s="35"/>
      <c r="AM31" s="35"/>
      <c r="AN31" s="35">
        <v>552</v>
      </c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 hidden="1" x14ac:dyDescent="0.25">
      <c r="A32" s="38" t="s">
        <v>49</v>
      </c>
      <c r="B32" s="39">
        <v>31</v>
      </c>
      <c r="C32" s="38" t="s">
        <v>82</v>
      </c>
      <c r="D32" s="38" t="s">
        <v>26</v>
      </c>
      <c r="E32" s="38" t="s">
        <v>87</v>
      </c>
      <c r="F32" s="38">
        <v>2012</v>
      </c>
      <c r="G32" s="35">
        <v>4409</v>
      </c>
      <c r="H32" s="35">
        <v>1708</v>
      </c>
      <c r="I32" s="35">
        <v>2701</v>
      </c>
      <c r="J32" s="35">
        <v>29066</v>
      </c>
      <c r="K32" s="35">
        <v>56</v>
      </c>
      <c r="L32" s="35">
        <v>10</v>
      </c>
      <c r="M32" s="35">
        <v>16</v>
      </c>
      <c r="N32" s="35">
        <v>3300</v>
      </c>
      <c r="O32" s="35">
        <v>113961.53601094714</v>
      </c>
      <c r="P32" s="35">
        <v>2684</v>
      </c>
      <c r="Q32" s="35">
        <v>4693</v>
      </c>
      <c r="R32" s="35">
        <v>843</v>
      </c>
      <c r="S32" s="35">
        <v>1234</v>
      </c>
      <c r="T32" s="35"/>
      <c r="U32" s="35"/>
      <c r="V32" s="35">
        <v>1718</v>
      </c>
      <c r="W32" s="35">
        <v>774</v>
      </c>
      <c r="X32" s="35">
        <v>871</v>
      </c>
      <c r="Y32" s="35">
        <v>770</v>
      </c>
      <c r="Z32" s="35">
        <v>4409</v>
      </c>
      <c r="AA32" s="35">
        <v>77263516</v>
      </c>
      <c r="AB32" s="35">
        <v>275</v>
      </c>
      <c r="AC32" s="35">
        <v>4291</v>
      </c>
      <c r="AD32" s="35">
        <v>287</v>
      </c>
      <c r="AE32" s="35">
        <v>994</v>
      </c>
      <c r="AF32" s="35">
        <v>367</v>
      </c>
      <c r="AG32" s="35">
        <v>81</v>
      </c>
      <c r="AH32" s="35">
        <v>137</v>
      </c>
      <c r="AI32" s="35">
        <v>7244</v>
      </c>
      <c r="AJ32" s="35">
        <v>183</v>
      </c>
      <c r="AK32" s="35" t="s">
        <v>2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</row>
    <row r="33" spans="1:56" hidden="1" x14ac:dyDescent="0.25">
      <c r="A33" s="38" t="s">
        <v>49</v>
      </c>
      <c r="B33" s="39">
        <v>32</v>
      </c>
      <c r="C33" s="38" t="s">
        <v>83</v>
      </c>
      <c r="D33" s="38" t="s">
        <v>27</v>
      </c>
      <c r="E33" s="38" t="s">
        <v>87</v>
      </c>
      <c r="F33" s="38">
        <v>2012</v>
      </c>
      <c r="G33" s="35">
        <v>1722</v>
      </c>
      <c r="H33" s="35">
        <v>767</v>
      </c>
      <c r="I33" s="35">
        <v>955</v>
      </c>
      <c r="J33" s="35">
        <v>23608</v>
      </c>
      <c r="K33" s="35">
        <v>37</v>
      </c>
      <c r="L33" s="35">
        <v>13</v>
      </c>
      <c r="M33" s="35">
        <v>6</v>
      </c>
      <c r="N33" s="35">
        <v>1325</v>
      </c>
      <c r="O33" s="35">
        <v>91820.373265537899</v>
      </c>
      <c r="P33" s="35">
        <v>934</v>
      </c>
      <c r="Q33" s="35">
        <v>1588</v>
      </c>
      <c r="R33" s="35">
        <v>323</v>
      </c>
      <c r="S33" s="35">
        <v>715</v>
      </c>
      <c r="T33" s="35"/>
      <c r="U33" s="35"/>
      <c r="V33" s="35">
        <v>806</v>
      </c>
      <c r="W33" s="35">
        <v>288</v>
      </c>
      <c r="X33" s="35">
        <v>214</v>
      </c>
      <c r="Y33" s="35">
        <v>201</v>
      </c>
      <c r="Z33" s="35">
        <v>1722</v>
      </c>
      <c r="AA33" s="35">
        <v>32108696</v>
      </c>
      <c r="AB33" s="35">
        <v>95</v>
      </c>
      <c r="AC33" s="35">
        <v>1458</v>
      </c>
      <c r="AD33" s="35">
        <v>117</v>
      </c>
      <c r="AE33" s="35">
        <v>369</v>
      </c>
      <c r="AF33" s="35">
        <v>155</v>
      </c>
      <c r="AG33" s="35">
        <v>42</v>
      </c>
      <c r="AH33" s="35">
        <v>57</v>
      </c>
      <c r="AI33" s="35">
        <v>2900</v>
      </c>
      <c r="AJ33" s="35">
        <v>70</v>
      </c>
      <c r="AK33" s="35" t="s">
        <v>2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</row>
    <row r="34" spans="1:56" hidden="1" x14ac:dyDescent="0.25">
      <c r="A34" s="38" t="s">
        <v>134</v>
      </c>
      <c r="B34" s="39">
        <v>33</v>
      </c>
      <c r="C34" s="38" t="s">
        <v>135</v>
      </c>
      <c r="D34" s="38" t="s">
        <v>40</v>
      </c>
      <c r="E34" s="38" t="s">
        <v>87</v>
      </c>
      <c r="F34" s="38">
        <v>2012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hidden="1" x14ac:dyDescent="0.25">
      <c r="A35" s="40" t="s">
        <v>49</v>
      </c>
      <c r="B35" s="41">
        <v>1</v>
      </c>
      <c r="C35" s="40" t="s">
        <v>54</v>
      </c>
      <c r="D35" s="40" t="s">
        <v>1</v>
      </c>
      <c r="E35" s="40" t="s">
        <v>88</v>
      </c>
      <c r="F35" s="40">
        <v>2013</v>
      </c>
      <c r="G35" s="42">
        <v>4724</v>
      </c>
      <c r="H35" s="42">
        <v>1749</v>
      </c>
      <c r="I35" s="42">
        <v>2975</v>
      </c>
      <c r="J35" s="42">
        <v>22184</v>
      </c>
      <c r="K35" s="42">
        <v>84</v>
      </c>
      <c r="L35" s="42">
        <v>13</v>
      </c>
      <c r="M35" s="42">
        <v>19</v>
      </c>
      <c r="N35" s="42">
        <v>3957</v>
      </c>
      <c r="O35" s="42">
        <v>75231.71103324533</v>
      </c>
      <c r="P35" s="42">
        <v>3860</v>
      </c>
      <c r="Q35" s="42">
        <v>4876</v>
      </c>
      <c r="R35" s="42">
        <v>1235</v>
      </c>
      <c r="S35" s="42">
        <v>644</v>
      </c>
      <c r="T35" s="42"/>
      <c r="U35" s="42"/>
      <c r="V35" s="42">
        <v>1791</v>
      </c>
      <c r="W35" s="42">
        <v>1076</v>
      </c>
      <c r="X35" s="42">
        <v>963</v>
      </c>
      <c r="Y35" s="42">
        <v>848</v>
      </c>
      <c r="Z35" s="42">
        <v>4724</v>
      </c>
      <c r="AA35" s="42">
        <v>53064138</v>
      </c>
      <c r="AB35" s="42">
        <v>285</v>
      </c>
      <c r="AC35" s="42">
        <v>4575</v>
      </c>
      <c r="AD35" s="42">
        <v>344</v>
      </c>
      <c r="AE35" s="42">
        <v>949</v>
      </c>
      <c r="AF35" s="42">
        <v>441</v>
      </c>
      <c r="AG35" s="42">
        <v>127</v>
      </c>
      <c r="AH35" s="42">
        <v>146</v>
      </c>
      <c r="AI35" s="42">
        <v>5889</v>
      </c>
      <c r="AJ35" s="42">
        <v>545</v>
      </c>
      <c r="AK35" s="42" t="s">
        <v>2</v>
      </c>
      <c r="AL35" s="42"/>
      <c r="AM35" s="42">
        <v>327</v>
      </c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</row>
    <row r="36" spans="1:56" hidden="1" x14ac:dyDescent="0.25">
      <c r="A36" s="40" t="s">
        <v>49</v>
      </c>
      <c r="B36" s="41">
        <v>2</v>
      </c>
      <c r="C36" s="40" t="s">
        <v>55</v>
      </c>
      <c r="D36" s="40" t="s">
        <v>3</v>
      </c>
      <c r="E36" s="40" t="s">
        <v>88</v>
      </c>
      <c r="F36" s="40">
        <v>2013</v>
      </c>
      <c r="G36" s="42">
        <v>7923</v>
      </c>
      <c r="H36" s="42">
        <v>3120</v>
      </c>
      <c r="I36" s="42">
        <v>4803</v>
      </c>
      <c r="J36" s="42">
        <v>50847</v>
      </c>
      <c r="K36" s="42">
        <v>118</v>
      </c>
      <c r="L36" s="42">
        <v>16</v>
      </c>
      <c r="M36" s="42">
        <v>25</v>
      </c>
      <c r="N36" s="42">
        <v>6510</v>
      </c>
      <c r="O36" s="42">
        <v>192570.33030696079</v>
      </c>
      <c r="P36" s="42">
        <v>3981</v>
      </c>
      <c r="Q36" s="42">
        <v>8368</v>
      </c>
      <c r="R36" s="42">
        <v>1836</v>
      </c>
      <c r="S36" s="42">
        <v>2407</v>
      </c>
      <c r="T36" s="42"/>
      <c r="U36" s="42"/>
      <c r="V36" s="42">
        <v>3518</v>
      </c>
      <c r="W36" s="42">
        <v>1654</v>
      </c>
      <c r="X36" s="42">
        <v>1526</v>
      </c>
      <c r="Y36" s="42">
        <v>1480</v>
      </c>
      <c r="Z36" s="42">
        <v>7923</v>
      </c>
      <c r="AA36" s="42">
        <v>113761602</v>
      </c>
      <c r="AB36" s="42">
        <v>394</v>
      </c>
      <c r="AC36" s="42">
        <v>7556</v>
      </c>
      <c r="AD36" s="42">
        <v>379</v>
      </c>
      <c r="AE36" s="42">
        <v>1515</v>
      </c>
      <c r="AF36" s="42">
        <v>714</v>
      </c>
      <c r="AG36" s="42">
        <v>186</v>
      </c>
      <c r="AH36" s="42">
        <v>203</v>
      </c>
      <c r="AI36" s="42">
        <v>11950</v>
      </c>
      <c r="AJ36" s="42">
        <v>183</v>
      </c>
      <c r="AK36" s="42">
        <v>2</v>
      </c>
      <c r="AL36" s="42">
        <v>6325</v>
      </c>
      <c r="AM36" s="42">
        <v>0</v>
      </c>
      <c r="AN36" s="42">
        <v>1693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</row>
    <row r="37" spans="1:56" hidden="1" x14ac:dyDescent="0.25">
      <c r="A37" s="40" t="s">
        <v>49</v>
      </c>
      <c r="B37" s="41">
        <v>3</v>
      </c>
      <c r="C37" s="40" t="s">
        <v>56</v>
      </c>
      <c r="D37" s="40" t="s">
        <v>4</v>
      </c>
      <c r="E37" s="40" t="s">
        <v>88</v>
      </c>
      <c r="F37" s="40">
        <v>2013</v>
      </c>
      <c r="G37" s="42">
        <v>2058</v>
      </c>
      <c r="H37" s="42">
        <v>884</v>
      </c>
      <c r="I37" s="42">
        <v>1174</v>
      </c>
      <c r="J37" s="42">
        <v>10507</v>
      </c>
      <c r="K37" s="42">
        <v>29</v>
      </c>
      <c r="L37" s="42">
        <v>7</v>
      </c>
      <c r="M37" s="42">
        <v>2</v>
      </c>
      <c r="N37" s="42">
        <v>1587</v>
      </c>
      <c r="O37" s="42">
        <v>38630.89366289071</v>
      </c>
      <c r="P37" s="42">
        <v>1399</v>
      </c>
      <c r="Q37" s="42">
        <v>1902</v>
      </c>
      <c r="R37" s="42">
        <v>411</v>
      </c>
      <c r="S37" s="42">
        <v>562</v>
      </c>
      <c r="T37" s="42"/>
      <c r="U37" s="42"/>
      <c r="V37" s="42">
        <v>724</v>
      </c>
      <c r="W37" s="42">
        <v>366</v>
      </c>
      <c r="X37" s="42">
        <v>420</v>
      </c>
      <c r="Y37" s="42">
        <v>394</v>
      </c>
      <c r="Z37" s="42">
        <v>2058</v>
      </c>
      <c r="AA37" s="42">
        <v>28483347</v>
      </c>
      <c r="AB37" s="42">
        <v>105</v>
      </c>
      <c r="AC37" s="42">
        <v>1705</v>
      </c>
      <c r="AD37" s="42">
        <v>124</v>
      </c>
      <c r="AE37" s="42">
        <v>452</v>
      </c>
      <c r="AF37" s="42">
        <v>203</v>
      </c>
      <c r="AG37" s="42">
        <v>69</v>
      </c>
      <c r="AH37" s="42">
        <v>59</v>
      </c>
      <c r="AI37" s="42">
        <v>2477</v>
      </c>
      <c r="AJ37" s="42">
        <v>258</v>
      </c>
      <c r="AK37" s="42" t="s">
        <v>2</v>
      </c>
      <c r="AL37" s="42"/>
      <c r="AM37" s="42">
        <v>0</v>
      </c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1:56" hidden="1" x14ac:dyDescent="0.25">
      <c r="A38" s="40" t="s">
        <v>49</v>
      </c>
      <c r="B38" s="41">
        <v>4</v>
      </c>
      <c r="C38" s="40" t="s">
        <v>57</v>
      </c>
      <c r="D38" s="40" t="s">
        <v>5</v>
      </c>
      <c r="E38" s="40" t="s">
        <v>88</v>
      </c>
      <c r="F38" s="40">
        <v>2013</v>
      </c>
      <c r="G38" s="42">
        <v>1930</v>
      </c>
      <c r="H38" s="42">
        <v>799</v>
      </c>
      <c r="I38" s="42">
        <v>1131</v>
      </c>
      <c r="J38" s="42">
        <v>12284</v>
      </c>
      <c r="K38" s="42">
        <v>36</v>
      </c>
      <c r="L38" s="42">
        <v>8</v>
      </c>
      <c r="M38" s="42">
        <v>16</v>
      </c>
      <c r="N38" s="42">
        <v>1376</v>
      </c>
      <c r="O38" s="42">
        <v>49606.327829282833</v>
      </c>
      <c r="P38" s="42">
        <v>958</v>
      </c>
      <c r="Q38" s="42">
        <v>1864</v>
      </c>
      <c r="R38" s="42">
        <v>375</v>
      </c>
      <c r="S38" s="42">
        <v>605</v>
      </c>
      <c r="T38" s="42"/>
      <c r="U38" s="42"/>
      <c r="V38" s="42">
        <v>760</v>
      </c>
      <c r="W38" s="42">
        <v>347</v>
      </c>
      <c r="X38" s="42">
        <v>274</v>
      </c>
      <c r="Y38" s="42">
        <v>266</v>
      </c>
      <c r="Z38" s="42">
        <v>1930</v>
      </c>
      <c r="AA38" s="42">
        <v>34103141</v>
      </c>
      <c r="AB38" s="42">
        <v>107</v>
      </c>
      <c r="AC38" s="42">
        <v>1671</v>
      </c>
      <c r="AD38" s="42">
        <v>147</v>
      </c>
      <c r="AE38" s="42">
        <v>486</v>
      </c>
      <c r="AF38" s="42">
        <v>280</v>
      </c>
      <c r="AG38" s="42">
        <v>70</v>
      </c>
      <c r="AH38" s="42">
        <v>71</v>
      </c>
      <c r="AI38" s="42">
        <v>2177</v>
      </c>
      <c r="AJ38" s="42">
        <v>750</v>
      </c>
      <c r="AK38" s="42" t="s">
        <v>2</v>
      </c>
      <c r="AL38" s="42">
        <v>535</v>
      </c>
      <c r="AM38" s="42">
        <v>625</v>
      </c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</row>
    <row r="39" spans="1:56" hidden="1" x14ac:dyDescent="0.25">
      <c r="A39" s="40" t="s">
        <v>49</v>
      </c>
      <c r="B39" s="41">
        <v>7</v>
      </c>
      <c r="C39" s="40" t="s">
        <v>58</v>
      </c>
      <c r="D39" s="40" t="s">
        <v>6</v>
      </c>
      <c r="E39" s="40" t="s">
        <v>88</v>
      </c>
      <c r="F39" s="40">
        <v>2013</v>
      </c>
      <c r="G39" s="42">
        <v>7916</v>
      </c>
      <c r="H39" s="42">
        <v>3054</v>
      </c>
      <c r="I39" s="42">
        <v>4862</v>
      </c>
      <c r="J39" s="42">
        <v>85235</v>
      </c>
      <c r="K39" s="42">
        <v>143</v>
      </c>
      <c r="L39" s="42">
        <v>21</v>
      </c>
      <c r="M39" s="42">
        <v>42</v>
      </c>
      <c r="N39" s="42">
        <v>5924</v>
      </c>
      <c r="O39" s="42">
        <v>339210.95663831854</v>
      </c>
      <c r="P39" s="42">
        <v>4091</v>
      </c>
      <c r="Q39" s="42">
        <v>7730</v>
      </c>
      <c r="R39" s="42">
        <v>1854</v>
      </c>
      <c r="S39" s="42">
        <v>1641</v>
      </c>
      <c r="T39" s="42"/>
      <c r="U39" s="42"/>
      <c r="V39" s="42">
        <v>3009</v>
      </c>
      <c r="W39" s="42">
        <v>1710</v>
      </c>
      <c r="X39" s="42">
        <v>1305</v>
      </c>
      <c r="Y39" s="42">
        <v>1212</v>
      </c>
      <c r="Z39" s="42">
        <v>7916</v>
      </c>
      <c r="AA39" s="42">
        <v>132254276</v>
      </c>
      <c r="AB39" s="42">
        <v>445</v>
      </c>
      <c r="AC39" s="42">
        <v>7186</v>
      </c>
      <c r="AD39" s="42">
        <v>346</v>
      </c>
      <c r="AE39" s="42">
        <v>1229</v>
      </c>
      <c r="AF39" s="42">
        <v>558</v>
      </c>
      <c r="AG39" s="42">
        <v>200</v>
      </c>
      <c r="AH39" s="42">
        <v>234</v>
      </c>
      <c r="AI39" s="42">
        <v>5222</v>
      </c>
      <c r="AJ39" s="42">
        <v>13</v>
      </c>
      <c r="AK39" s="42" t="s">
        <v>2</v>
      </c>
      <c r="AL39" s="42"/>
      <c r="AM39" s="42">
        <v>256</v>
      </c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</row>
    <row r="40" spans="1:56" hidden="1" x14ac:dyDescent="0.25">
      <c r="A40" s="40" t="s">
        <v>49</v>
      </c>
      <c r="B40" s="41">
        <v>8</v>
      </c>
      <c r="C40" s="40" t="s">
        <v>59</v>
      </c>
      <c r="D40" s="40" t="s">
        <v>7</v>
      </c>
      <c r="E40" s="40" t="s">
        <v>88</v>
      </c>
      <c r="F40" s="40">
        <v>2013</v>
      </c>
      <c r="G40" s="42">
        <v>9072</v>
      </c>
      <c r="H40" s="42">
        <v>3670</v>
      </c>
      <c r="I40" s="42">
        <v>5402</v>
      </c>
      <c r="J40" s="42">
        <v>53834</v>
      </c>
      <c r="K40" s="42">
        <v>143</v>
      </c>
      <c r="L40" s="42">
        <v>26</v>
      </c>
      <c r="M40" s="42">
        <v>40</v>
      </c>
      <c r="N40" s="42">
        <v>7458</v>
      </c>
      <c r="O40" s="42">
        <v>201420.28859328708</v>
      </c>
      <c r="P40" s="42">
        <v>4392</v>
      </c>
      <c r="Q40" s="42">
        <v>9183</v>
      </c>
      <c r="R40" s="42">
        <v>1832</v>
      </c>
      <c r="S40" s="42">
        <v>2416</v>
      </c>
      <c r="T40" s="42"/>
      <c r="U40" s="42"/>
      <c r="V40" s="42">
        <v>3668</v>
      </c>
      <c r="W40" s="42">
        <v>1658</v>
      </c>
      <c r="X40" s="42">
        <v>1499</v>
      </c>
      <c r="Y40" s="42">
        <v>1450</v>
      </c>
      <c r="Z40" s="42">
        <v>9072</v>
      </c>
      <c r="AA40" s="42">
        <v>126336677</v>
      </c>
      <c r="AB40" s="42">
        <v>604</v>
      </c>
      <c r="AC40" s="42">
        <v>8240</v>
      </c>
      <c r="AD40" s="42">
        <v>498</v>
      </c>
      <c r="AE40" s="42">
        <v>1805</v>
      </c>
      <c r="AF40" s="42">
        <v>856</v>
      </c>
      <c r="AG40" s="42">
        <v>150</v>
      </c>
      <c r="AH40" s="42">
        <v>234</v>
      </c>
      <c r="AI40" s="42">
        <v>11054</v>
      </c>
      <c r="AJ40" s="42">
        <v>2633</v>
      </c>
      <c r="AK40" s="42">
        <v>3</v>
      </c>
      <c r="AL40" s="42">
        <v>3186</v>
      </c>
      <c r="AM40" s="42">
        <v>4469</v>
      </c>
      <c r="AN40" s="42">
        <v>962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1:56" hidden="1" x14ac:dyDescent="0.25">
      <c r="A41" s="40" t="s">
        <v>50</v>
      </c>
      <c r="B41" s="41">
        <v>9</v>
      </c>
      <c r="C41" s="40" t="s">
        <v>84</v>
      </c>
      <c r="D41" s="40" t="s">
        <v>32</v>
      </c>
      <c r="E41" s="40" t="s">
        <v>88</v>
      </c>
      <c r="F41" s="40">
        <v>2013</v>
      </c>
      <c r="G41" s="42">
        <v>42808</v>
      </c>
      <c r="H41" s="42">
        <v>17832</v>
      </c>
      <c r="I41" s="42">
        <v>24976</v>
      </c>
      <c r="J41" s="42">
        <v>128608</v>
      </c>
      <c r="K41" s="42">
        <v>545</v>
      </c>
      <c r="L41" s="42">
        <v>91</v>
      </c>
      <c r="M41" s="42">
        <v>164</v>
      </c>
      <c r="N41" s="42">
        <v>31960</v>
      </c>
      <c r="O41" s="42">
        <v>416841.07252891117</v>
      </c>
      <c r="P41" s="42">
        <v>22668</v>
      </c>
      <c r="Q41" s="42">
        <v>43673</v>
      </c>
      <c r="R41" s="42">
        <v>9190</v>
      </c>
      <c r="S41" s="42">
        <v>14555</v>
      </c>
      <c r="T41" s="42"/>
      <c r="U41" s="42"/>
      <c r="V41" s="42">
        <v>20540</v>
      </c>
      <c r="W41" s="42">
        <v>7987</v>
      </c>
      <c r="X41" s="42">
        <v>7474</v>
      </c>
      <c r="Y41" s="42">
        <v>4963</v>
      </c>
      <c r="Z41" s="42"/>
      <c r="AA41" s="42"/>
      <c r="AB41" s="42">
        <v>2120</v>
      </c>
      <c r="AC41" s="42">
        <v>38777</v>
      </c>
      <c r="AD41" s="42">
        <v>949</v>
      </c>
      <c r="AE41" s="42">
        <v>3930</v>
      </c>
      <c r="AF41" s="42">
        <v>3101</v>
      </c>
      <c r="AG41" s="42">
        <v>1061</v>
      </c>
      <c r="AH41" s="42">
        <v>1373</v>
      </c>
      <c r="AI41" s="42">
        <v>20448</v>
      </c>
      <c r="AJ41" s="42">
        <v>2193</v>
      </c>
      <c r="AK41" s="42">
        <v>1</v>
      </c>
      <c r="AL41" s="42">
        <v>13970</v>
      </c>
      <c r="AM41" s="42">
        <v>1443</v>
      </c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</row>
    <row r="42" spans="1:56" hidden="1" x14ac:dyDescent="0.25">
      <c r="A42" s="40" t="s">
        <v>49</v>
      </c>
      <c r="B42" s="41">
        <v>5</v>
      </c>
      <c r="C42" s="40" t="s">
        <v>60</v>
      </c>
      <c r="D42" s="40" t="s">
        <v>31</v>
      </c>
      <c r="E42" s="40" t="s">
        <v>88</v>
      </c>
      <c r="F42" s="40">
        <v>2013</v>
      </c>
      <c r="G42" s="42">
        <v>7891</v>
      </c>
      <c r="H42" s="42">
        <v>3155</v>
      </c>
      <c r="I42" s="42">
        <v>4736</v>
      </c>
      <c r="J42" s="42">
        <v>43223</v>
      </c>
      <c r="K42" s="42">
        <v>132</v>
      </c>
      <c r="L42" s="42">
        <v>31</v>
      </c>
      <c r="M42" s="42">
        <v>42</v>
      </c>
      <c r="N42" s="42">
        <v>7051</v>
      </c>
      <c r="O42" s="42">
        <v>163236.43417178339</v>
      </c>
      <c r="P42" s="42">
        <v>4144</v>
      </c>
      <c r="Q42" s="42">
        <v>8071</v>
      </c>
      <c r="R42" s="42">
        <v>1943</v>
      </c>
      <c r="S42" s="42">
        <v>1545</v>
      </c>
      <c r="T42" s="42"/>
      <c r="U42" s="42"/>
      <c r="V42" s="42">
        <v>3257</v>
      </c>
      <c r="W42" s="42">
        <v>1767</v>
      </c>
      <c r="X42" s="42">
        <v>1594</v>
      </c>
      <c r="Y42" s="42">
        <v>1593</v>
      </c>
      <c r="Z42" s="42">
        <v>7891</v>
      </c>
      <c r="AA42" s="42">
        <v>124076457</v>
      </c>
      <c r="AB42" s="42">
        <v>426</v>
      </c>
      <c r="AC42" s="42">
        <v>7266</v>
      </c>
      <c r="AD42" s="42">
        <v>495</v>
      </c>
      <c r="AE42" s="42">
        <v>1469</v>
      </c>
      <c r="AF42" s="42">
        <v>943</v>
      </c>
      <c r="AG42" s="42">
        <v>188</v>
      </c>
      <c r="AH42" s="42">
        <v>234</v>
      </c>
      <c r="AI42" s="42">
        <v>12186</v>
      </c>
      <c r="AJ42" s="42">
        <v>1121</v>
      </c>
      <c r="AK42" s="42">
        <v>1</v>
      </c>
      <c r="AL42" s="42">
        <v>5662</v>
      </c>
      <c r="AM42" s="42">
        <v>1346</v>
      </c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</row>
    <row r="43" spans="1:56" hidden="1" x14ac:dyDescent="0.25">
      <c r="A43" s="40" t="s">
        <v>49</v>
      </c>
      <c r="B43" s="41">
        <v>6</v>
      </c>
      <c r="C43" s="40" t="s">
        <v>61</v>
      </c>
      <c r="D43" s="40" t="s">
        <v>8</v>
      </c>
      <c r="E43" s="40" t="s">
        <v>88</v>
      </c>
      <c r="F43" s="40">
        <v>2013</v>
      </c>
      <c r="G43" s="42">
        <v>1883</v>
      </c>
      <c r="H43" s="42">
        <v>813</v>
      </c>
      <c r="I43" s="42">
        <v>1070</v>
      </c>
      <c r="J43" s="42">
        <v>8912</v>
      </c>
      <c r="K43" s="42">
        <v>41</v>
      </c>
      <c r="L43" s="42">
        <v>6</v>
      </c>
      <c r="M43" s="42">
        <v>10</v>
      </c>
      <c r="N43" s="42">
        <v>1151</v>
      </c>
      <c r="O43" s="42">
        <v>37630.754876559426</v>
      </c>
      <c r="P43" s="42">
        <v>948</v>
      </c>
      <c r="Q43" s="42">
        <v>1864</v>
      </c>
      <c r="R43" s="42">
        <v>362</v>
      </c>
      <c r="S43" s="42">
        <v>848</v>
      </c>
      <c r="T43" s="42"/>
      <c r="U43" s="42"/>
      <c r="V43" s="42">
        <v>778</v>
      </c>
      <c r="W43" s="42">
        <v>311</v>
      </c>
      <c r="X43" s="42">
        <v>299</v>
      </c>
      <c r="Y43" s="42">
        <v>282</v>
      </c>
      <c r="Z43" s="42">
        <v>1883</v>
      </c>
      <c r="AA43" s="42">
        <v>34433440</v>
      </c>
      <c r="AB43" s="42">
        <v>122</v>
      </c>
      <c r="AC43" s="42">
        <v>1531</v>
      </c>
      <c r="AD43" s="42">
        <v>123</v>
      </c>
      <c r="AE43" s="42">
        <v>357</v>
      </c>
      <c r="AF43" s="42">
        <v>289</v>
      </c>
      <c r="AG43" s="42">
        <v>92</v>
      </c>
      <c r="AH43" s="42">
        <v>81</v>
      </c>
      <c r="AI43" s="42">
        <v>3260</v>
      </c>
      <c r="AJ43" s="42">
        <v>278</v>
      </c>
      <c r="AK43" s="42">
        <v>1</v>
      </c>
      <c r="AL43" s="42">
        <v>1883</v>
      </c>
      <c r="AM43" s="42">
        <v>2</v>
      </c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</row>
    <row r="44" spans="1:56" hidden="1" x14ac:dyDescent="0.25">
      <c r="A44" s="40" t="s">
        <v>49</v>
      </c>
      <c r="B44" s="41">
        <v>10</v>
      </c>
      <c r="C44" s="40" t="s">
        <v>62</v>
      </c>
      <c r="D44" s="40" t="s">
        <v>9</v>
      </c>
      <c r="E44" s="40" t="s">
        <v>88</v>
      </c>
      <c r="F44" s="40">
        <v>2013</v>
      </c>
      <c r="G44" s="42">
        <v>2413</v>
      </c>
      <c r="H44" s="42">
        <v>1022</v>
      </c>
      <c r="I44" s="42">
        <v>1391</v>
      </c>
      <c r="J44" s="42">
        <v>28121</v>
      </c>
      <c r="K44" s="42">
        <v>45</v>
      </c>
      <c r="L44" s="42">
        <v>13</v>
      </c>
      <c r="M44" s="42">
        <v>11</v>
      </c>
      <c r="N44" s="42">
        <v>2057</v>
      </c>
      <c r="O44" s="42">
        <v>104245.78939787953</v>
      </c>
      <c r="P44" s="42">
        <v>1204</v>
      </c>
      <c r="Q44" s="42">
        <v>2386</v>
      </c>
      <c r="R44" s="42">
        <v>447</v>
      </c>
      <c r="S44" s="42">
        <v>854</v>
      </c>
      <c r="T44" s="42"/>
      <c r="U44" s="42"/>
      <c r="V44" s="42">
        <v>1008</v>
      </c>
      <c r="W44" s="42">
        <v>388</v>
      </c>
      <c r="X44" s="42">
        <v>389</v>
      </c>
      <c r="Y44" s="42">
        <v>305</v>
      </c>
      <c r="Z44" s="42">
        <v>2413</v>
      </c>
      <c r="AA44" s="42">
        <v>33640421</v>
      </c>
      <c r="AB44" s="42">
        <v>165</v>
      </c>
      <c r="AC44" s="42">
        <v>2124</v>
      </c>
      <c r="AD44" s="42">
        <v>225</v>
      </c>
      <c r="AE44" s="42">
        <v>711</v>
      </c>
      <c r="AF44" s="42">
        <v>245</v>
      </c>
      <c r="AG44" s="42">
        <v>107</v>
      </c>
      <c r="AH44" s="42">
        <v>78</v>
      </c>
      <c r="AI44" s="42">
        <v>7093</v>
      </c>
      <c r="AJ44" s="42">
        <v>318</v>
      </c>
      <c r="AK44" s="42" t="s">
        <v>2</v>
      </c>
      <c r="AL44" s="42">
        <v>832</v>
      </c>
      <c r="AM44" s="42">
        <v>512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</row>
    <row r="45" spans="1:56" hidden="1" x14ac:dyDescent="0.25">
      <c r="A45" s="40" t="s">
        <v>49</v>
      </c>
      <c r="B45" s="41">
        <v>11</v>
      </c>
      <c r="C45" s="40" t="s">
        <v>63</v>
      </c>
      <c r="D45" s="40" t="s">
        <v>10</v>
      </c>
      <c r="E45" s="40" t="s">
        <v>88</v>
      </c>
      <c r="F45" s="40">
        <v>2013</v>
      </c>
      <c r="G45" s="42">
        <v>18280</v>
      </c>
      <c r="H45" s="42">
        <v>8079</v>
      </c>
      <c r="I45" s="42">
        <v>10201</v>
      </c>
      <c r="J45" s="42">
        <v>92929</v>
      </c>
      <c r="K45" s="42">
        <v>254</v>
      </c>
      <c r="L45" s="42">
        <v>60</v>
      </c>
      <c r="M45" s="42">
        <v>81</v>
      </c>
      <c r="N45" s="42">
        <v>15586</v>
      </c>
      <c r="O45" s="42">
        <v>350709.29111595784</v>
      </c>
      <c r="P45" s="42">
        <v>12334</v>
      </c>
      <c r="Q45" s="42">
        <v>16619</v>
      </c>
      <c r="R45" s="42">
        <v>4270</v>
      </c>
      <c r="S45" s="42">
        <v>4646</v>
      </c>
      <c r="T45" s="42"/>
      <c r="U45" s="42"/>
      <c r="V45" s="42">
        <v>6317</v>
      </c>
      <c r="W45" s="42">
        <v>3989</v>
      </c>
      <c r="X45" s="42">
        <v>3531</v>
      </c>
      <c r="Y45" s="42">
        <v>3297</v>
      </c>
      <c r="Z45" s="42">
        <v>18280</v>
      </c>
      <c r="AA45" s="42">
        <v>202301884</v>
      </c>
      <c r="AB45" s="42">
        <v>917</v>
      </c>
      <c r="AC45" s="42">
        <v>15495</v>
      </c>
      <c r="AD45" s="42">
        <v>725</v>
      </c>
      <c r="AE45" s="42">
        <v>3092</v>
      </c>
      <c r="AF45" s="42">
        <v>1986</v>
      </c>
      <c r="AG45" s="42">
        <v>473</v>
      </c>
      <c r="AH45" s="42">
        <v>445</v>
      </c>
      <c r="AI45" s="42">
        <v>22717</v>
      </c>
      <c r="AJ45" s="42">
        <v>2129</v>
      </c>
      <c r="AK45" s="42">
        <v>1</v>
      </c>
      <c r="AL45" s="42">
        <v>13236</v>
      </c>
      <c r="AM45" s="42">
        <v>599</v>
      </c>
      <c r="AN45" s="42">
        <v>8974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6" hidden="1" x14ac:dyDescent="0.25">
      <c r="A46" s="40" t="s">
        <v>49</v>
      </c>
      <c r="B46" s="41">
        <v>12</v>
      </c>
      <c r="C46" s="40" t="s">
        <v>64</v>
      </c>
      <c r="D46" s="40" t="s">
        <v>11</v>
      </c>
      <c r="E46" s="40" t="s">
        <v>88</v>
      </c>
      <c r="F46" s="40">
        <v>2013</v>
      </c>
      <c r="G46" s="42">
        <v>6996</v>
      </c>
      <c r="H46" s="42">
        <v>2731</v>
      </c>
      <c r="I46" s="42">
        <v>4265</v>
      </c>
      <c r="J46" s="42">
        <v>57748</v>
      </c>
      <c r="K46" s="42">
        <v>118</v>
      </c>
      <c r="L46" s="42">
        <v>25</v>
      </c>
      <c r="M46" s="42">
        <v>39</v>
      </c>
      <c r="N46" s="42">
        <v>5628</v>
      </c>
      <c r="O46" s="42">
        <v>229444.85510118637</v>
      </c>
      <c r="P46" s="42">
        <v>3569</v>
      </c>
      <c r="Q46" s="42">
        <v>7047</v>
      </c>
      <c r="R46" s="42">
        <v>1624</v>
      </c>
      <c r="S46" s="42">
        <v>2430</v>
      </c>
      <c r="T46" s="42"/>
      <c r="U46" s="42"/>
      <c r="V46" s="42">
        <v>3069</v>
      </c>
      <c r="W46" s="42">
        <v>1531</v>
      </c>
      <c r="X46" s="42">
        <v>1318</v>
      </c>
      <c r="Y46" s="42">
        <v>1020</v>
      </c>
      <c r="Z46" s="42">
        <v>6996</v>
      </c>
      <c r="AA46" s="42">
        <v>110429628</v>
      </c>
      <c r="AB46" s="42">
        <v>327</v>
      </c>
      <c r="AC46" s="42">
        <v>6498</v>
      </c>
      <c r="AD46" s="42">
        <v>386</v>
      </c>
      <c r="AE46" s="42">
        <v>1657</v>
      </c>
      <c r="AF46" s="42">
        <v>608</v>
      </c>
      <c r="AG46" s="42">
        <v>232</v>
      </c>
      <c r="AH46" s="42">
        <v>232</v>
      </c>
      <c r="AI46" s="42">
        <v>4631</v>
      </c>
      <c r="AJ46" s="42">
        <v>1238</v>
      </c>
      <c r="AK46" s="42" t="s">
        <v>2</v>
      </c>
      <c r="AL46" s="42"/>
      <c r="AM46" s="42">
        <v>1886</v>
      </c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</row>
    <row r="47" spans="1:56" hidden="1" x14ac:dyDescent="0.25">
      <c r="A47" s="40" t="s">
        <v>49</v>
      </c>
      <c r="B47" s="41">
        <v>13</v>
      </c>
      <c r="C47" s="40" t="s">
        <v>65</v>
      </c>
      <c r="D47" s="40" t="s">
        <v>12</v>
      </c>
      <c r="E47" s="40" t="s">
        <v>88</v>
      </c>
      <c r="F47" s="40">
        <v>2013</v>
      </c>
      <c r="G47" s="42">
        <v>3924</v>
      </c>
      <c r="H47" s="42">
        <v>1716</v>
      </c>
      <c r="I47" s="42">
        <v>2208</v>
      </c>
      <c r="J47" s="42">
        <v>48232</v>
      </c>
      <c r="K47" s="42">
        <v>65</v>
      </c>
      <c r="L47" s="42">
        <v>27</v>
      </c>
      <c r="M47" s="42">
        <v>26</v>
      </c>
      <c r="N47" s="42">
        <v>3007</v>
      </c>
      <c r="O47" s="42">
        <v>160236.09623416909</v>
      </c>
      <c r="P47" s="42">
        <v>2104</v>
      </c>
      <c r="Q47" s="42">
        <v>3690</v>
      </c>
      <c r="R47" s="42">
        <v>794</v>
      </c>
      <c r="S47" s="42">
        <v>1157</v>
      </c>
      <c r="T47" s="42"/>
      <c r="U47" s="42"/>
      <c r="V47" s="42">
        <v>1445</v>
      </c>
      <c r="W47" s="42">
        <v>696</v>
      </c>
      <c r="X47" s="42">
        <v>719</v>
      </c>
      <c r="Y47" s="42">
        <v>715</v>
      </c>
      <c r="Z47" s="42">
        <v>3924</v>
      </c>
      <c r="AA47" s="42">
        <v>52946557</v>
      </c>
      <c r="AB47" s="42">
        <v>222</v>
      </c>
      <c r="AC47" s="42">
        <v>3315</v>
      </c>
      <c r="AD47" s="42">
        <v>201</v>
      </c>
      <c r="AE47" s="42">
        <v>874</v>
      </c>
      <c r="AF47" s="42">
        <v>404</v>
      </c>
      <c r="AG47" s="42">
        <v>87</v>
      </c>
      <c r="AH47" s="42">
        <v>168</v>
      </c>
      <c r="AI47" s="42">
        <v>2670</v>
      </c>
      <c r="AJ47" s="42">
        <v>247</v>
      </c>
      <c r="AK47" s="42" t="s">
        <v>2</v>
      </c>
      <c r="AL47" s="42"/>
      <c r="AM47" s="42">
        <v>207</v>
      </c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</row>
    <row r="48" spans="1:56" hidden="1" x14ac:dyDescent="0.25">
      <c r="A48" s="40" t="s">
        <v>49</v>
      </c>
      <c r="B48" s="41">
        <v>14</v>
      </c>
      <c r="C48" s="40" t="s">
        <v>66</v>
      </c>
      <c r="D48" s="40" t="s">
        <v>13</v>
      </c>
      <c r="E48" s="40" t="s">
        <v>88</v>
      </c>
      <c r="F48" s="40">
        <v>2013</v>
      </c>
      <c r="G48" s="42">
        <v>14705</v>
      </c>
      <c r="H48" s="42">
        <v>5644</v>
      </c>
      <c r="I48" s="42">
        <v>9061</v>
      </c>
      <c r="J48" s="42">
        <v>110165</v>
      </c>
      <c r="K48" s="42">
        <v>255</v>
      </c>
      <c r="L48" s="42">
        <v>32</v>
      </c>
      <c r="M48" s="42">
        <v>75</v>
      </c>
      <c r="N48" s="42">
        <v>11660</v>
      </c>
      <c r="O48" s="42">
        <v>435539.89541535149</v>
      </c>
      <c r="P48" s="42">
        <v>7428</v>
      </c>
      <c r="Q48" s="42">
        <v>15407</v>
      </c>
      <c r="R48" s="42">
        <v>3549</v>
      </c>
      <c r="S48" s="42">
        <v>3685</v>
      </c>
      <c r="T48" s="42"/>
      <c r="U48" s="42"/>
      <c r="V48" s="42">
        <v>6042</v>
      </c>
      <c r="W48" s="42">
        <v>3118</v>
      </c>
      <c r="X48" s="42">
        <v>2939</v>
      </c>
      <c r="Y48" s="42">
        <v>2839</v>
      </c>
      <c r="Z48" s="42">
        <v>14705</v>
      </c>
      <c r="AA48" s="42">
        <v>214696273</v>
      </c>
      <c r="AB48" s="42">
        <v>879</v>
      </c>
      <c r="AC48" s="42">
        <v>14141</v>
      </c>
      <c r="AD48" s="42">
        <v>638</v>
      </c>
      <c r="AE48" s="42">
        <v>3720</v>
      </c>
      <c r="AF48" s="42">
        <v>2076</v>
      </c>
      <c r="AG48" s="42">
        <v>422</v>
      </c>
      <c r="AH48" s="42">
        <v>503</v>
      </c>
      <c r="AI48" s="42">
        <v>23920</v>
      </c>
      <c r="AJ48" s="42">
        <v>2393</v>
      </c>
      <c r="AK48" s="42">
        <v>3</v>
      </c>
      <c r="AL48" s="42">
        <v>11799</v>
      </c>
      <c r="AM48" s="42">
        <v>35</v>
      </c>
      <c r="AN48" s="42">
        <v>427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49" spans="1:56" hidden="1" x14ac:dyDescent="0.25">
      <c r="A49" s="40" t="s">
        <v>49</v>
      </c>
      <c r="B49" s="41">
        <v>15</v>
      </c>
      <c r="C49" s="40" t="s">
        <v>67</v>
      </c>
      <c r="D49" s="40" t="s">
        <v>14</v>
      </c>
      <c r="E49" s="40" t="s">
        <v>88</v>
      </c>
      <c r="F49" s="40">
        <v>2013</v>
      </c>
      <c r="G49" s="42">
        <v>47473</v>
      </c>
      <c r="H49" s="42">
        <v>19346</v>
      </c>
      <c r="I49" s="42">
        <v>28127</v>
      </c>
      <c r="J49" s="42">
        <v>246038</v>
      </c>
      <c r="K49" s="42">
        <v>737</v>
      </c>
      <c r="L49" s="42">
        <v>137</v>
      </c>
      <c r="M49" s="42">
        <v>223</v>
      </c>
      <c r="N49" s="42">
        <v>36796</v>
      </c>
      <c r="O49" s="42">
        <v>909426.38239890151</v>
      </c>
      <c r="P49" s="42">
        <v>23555</v>
      </c>
      <c r="Q49" s="42">
        <v>48217</v>
      </c>
      <c r="R49" s="42">
        <v>10598</v>
      </c>
      <c r="S49" s="42">
        <v>11612</v>
      </c>
      <c r="T49" s="42"/>
      <c r="U49" s="42"/>
      <c r="V49" s="42">
        <v>22526</v>
      </c>
      <c r="W49" s="42">
        <v>9041</v>
      </c>
      <c r="X49" s="42">
        <v>9088</v>
      </c>
      <c r="Y49" s="42">
        <v>7283</v>
      </c>
      <c r="Z49" s="42">
        <v>47473</v>
      </c>
      <c r="AA49" s="42">
        <v>623639878</v>
      </c>
      <c r="AB49" s="42">
        <v>2508</v>
      </c>
      <c r="AC49" s="42">
        <v>42614</v>
      </c>
      <c r="AD49" s="42">
        <v>1751</v>
      </c>
      <c r="AE49" s="42">
        <v>9530</v>
      </c>
      <c r="AF49" s="42">
        <v>4063</v>
      </c>
      <c r="AG49" s="42">
        <v>1439</v>
      </c>
      <c r="AH49" s="42">
        <v>1300</v>
      </c>
      <c r="AI49" s="42">
        <v>36420</v>
      </c>
      <c r="AJ49" s="42">
        <v>4072</v>
      </c>
      <c r="AK49" s="42">
        <v>23</v>
      </c>
      <c r="AL49" s="42">
        <v>33647</v>
      </c>
      <c r="AM49" s="42">
        <v>5395</v>
      </c>
      <c r="AN49" s="42">
        <v>582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</row>
    <row r="50" spans="1:56" hidden="1" x14ac:dyDescent="0.25">
      <c r="A50" s="40" t="s">
        <v>49</v>
      </c>
      <c r="B50" s="41">
        <v>16</v>
      </c>
      <c r="C50" s="40" t="s">
        <v>68</v>
      </c>
      <c r="D50" s="40" t="s">
        <v>30</v>
      </c>
      <c r="E50" s="40" t="s">
        <v>88</v>
      </c>
      <c r="F50" s="40">
        <v>2013</v>
      </c>
      <c r="G50" s="42">
        <v>11807</v>
      </c>
      <c r="H50" s="42">
        <v>4749</v>
      </c>
      <c r="I50" s="42">
        <v>7058</v>
      </c>
      <c r="J50" s="42">
        <v>62745</v>
      </c>
      <c r="K50" s="42">
        <v>226</v>
      </c>
      <c r="L50" s="42">
        <v>41</v>
      </c>
      <c r="M50" s="42">
        <v>63</v>
      </c>
      <c r="N50" s="42">
        <v>8818</v>
      </c>
      <c r="O50" s="42">
        <v>268149.49620750209</v>
      </c>
      <c r="P50" s="42">
        <v>5920</v>
      </c>
      <c r="Q50" s="42">
        <v>12293</v>
      </c>
      <c r="R50" s="42">
        <v>2966</v>
      </c>
      <c r="S50" s="42">
        <v>1795</v>
      </c>
      <c r="T50" s="42"/>
      <c r="U50" s="42"/>
      <c r="V50" s="42">
        <v>5668</v>
      </c>
      <c r="W50" s="42">
        <v>2525</v>
      </c>
      <c r="X50" s="42">
        <v>2285</v>
      </c>
      <c r="Y50" s="42">
        <v>2083</v>
      </c>
      <c r="Z50" s="42">
        <v>11807</v>
      </c>
      <c r="AA50" s="42">
        <v>171064724</v>
      </c>
      <c r="AB50" s="42">
        <v>490</v>
      </c>
      <c r="AC50" s="42">
        <v>10726</v>
      </c>
      <c r="AD50" s="42">
        <v>461</v>
      </c>
      <c r="AE50" s="42">
        <v>2065</v>
      </c>
      <c r="AF50" s="42">
        <v>1056</v>
      </c>
      <c r="AG50" s="42">
        <v>277</v>
      </c>
      <c r="AH50" s="42">
        <v>355</v>
      </c>
      <c r="AI50" s="42">
        <v>6714</v>
      </c>
      <c r="AJ50" s="42">
        <v>713</v>
      </c>
      <c r="AK50" s="42" t="s">
        <v>2</v>
      </c>
      <c r="AL50" s="42"/>
      <c r="AM50" s="42">
        <v>0</v>
      </c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</row>
    <row r="51" spans="1:56" hidden="1" x14ac:dyDescent="0.25">
      <c r="A51" s="40" t="s">
        <v>49</v>
      </c>
      <c r="B51" s="41">
        <v>17</v>
      </c>
      <c r="C51" s="40" t="s">
        <v>69</v>
      </c>
      <c r="D51" s="40" t="s">
        <v>15</v>
      </c>
      <c r="E51" s="40" t="s">
        <v>88</v>
      </c>
      <c r="F51" s="40">
        <v>2013</v>
      </c>
      <c r="G51" s="42">
        <v>4693</v>
      </c>
      <c r="H51" s="42">
        <v>1832</v>
      </c>
      <c r="I51" s="42">
        <v>2861</v>
      </c>
      <c r="J51" s="42">
        <v>29652</v>
      </c>
      <c r="K51" s="42">
        <v>59</v>
      </c>
      <c r="L51" s="42">
        <v>20</v>
      </c>
      <c r="M51" s="42">
        <v>12</v>
      </c>
      <c r="N51" s="42">
        <v>4044</v>
      </c>
      <c r="O51" s="42">
        <v>103844.39817265478</v>
      </c>
      <c r="P51" s="42">
        <v>2048</v>
      </c>
      <c r="Q51" s="42">
        <v>5012</v>
      </c>
      <c r="R51" s="42">
        <v>1353</v>
      </c>
      <c r="S51" s="42">
        <v>989</v>
      </c>
      <c r="T51" s="42"/>
      <c r="U51" s="42"/>
      <c r="V51" s="42">
        <v>2231</v>
      </c>
      <c r="W51" s="42">
        <v>1292</v>
      </c>
      <c r="X51" s="42">
        <v>1059</v>
      </c>
      <c r="Y51" s="42">
        <v>973</v>
      </c>
      <c r="Z51" s="42">
        <v>4693</v>
      </c>
      <c r="AA51" s="42">
        <v>58251157</v>
      </c>
      <c r="AB51" s="42">
        <v>246</v>
      </c>
      <c r="AC51" s="42">
        <v>4573</v>
      </c>
      <c r="AD51" s="42">
        <v>387</v>
      </c>
      <c r="AE51" s="42">
        <v>1239</v>
      </c>
      <c r="AF51" s="42">
        <v>563</v>
      </c>
      <c r="AG51" s="42">
        <v>124</v>
      </c>
      <c r="AH51" s="42">
        <v>136</v>
      </c>
      <c r="AI51" s="42">
        <v>4512</v>
      </c>
      <c r="AJ51" s="42">
        <v>648</v>
      </c>
      <c r="AK51" s="42">
        <v>1</v>
      </c>
      <c r="AL51" s="42">
        <v>3488</v>
      </c>
      <c r="AM51" s="42">
        <v>2011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</row>
    <row r="52" spans="1:56" hidden="1" x14ac:dyDescent="0.25">
      <c r="A52" s="40" t="s">
        <v>49</v>
      </c>
      <c r="B52" s="41">
        <v>18</v>
      </c>
      <c r="C52" s="40" t="s">
        <v>70</v>
      </c>
      <c r="D52" s="40" t="s">
        <v>16</v>
      </c>
      <c r="E52" s="40" t="s">
        <v>88</v>
      </c>
      <c r="F52" s="40">
        <v>2013</v>
      </c>
      <c r="G52" s="42">
        <v>3037</v>
      </c>
      <c r="H52" s="42">
        <v>1236</v>
      </c>
      <c r="I52" s="42">
        <v>1801</v>
      </c>
      <c r="J52" s="42">
        <v>18277</v>
      </c>
      <c r="K52" s="42">
        <v>54</v>
      </c>
      <c r="L52" s="42">
        <v>8</v>
      </c>
      <c r="M52" s="42">
        <v>9</v>
      </c>
      <c r="N52" s="42">
        <v>2723</v>
      </c>
      <c r="O52" s="42">
        <v>65290.161300975204</v>
      </c>
      <c r="P52" s="42">
        <v>1589</v>
      </c>
      <c r="Q52" s="42">
        <v>3043</v>
      </c>
      <c r="R52" s="42">
        <v>684</v>
      </c>
      <c r="S52" s="42">
        <v>1070</v>
      </c>
      <c r="T52" s="42"/>
      <c r="U52" s="42"/>
      <c r="V52" s="42">
        <v>1318</v>
      </c>
      <c r="W52" s="42">
        <v>653</v>
      </c>
      <c r="X52" s="42">
        <v>692</v>
      </c>
      <c r="Y52" s="42">
        <v>677</v>
      </c>
      <c r="Z52" s="42">
        <v>3037</v>
      </c>
      <c r="AA52" s="42">
        <v>43499898</v>
      </c>
      <c r="AB52" s="42">
        <v>120</v>
      </c>
      <c r="AC52" s="42">
        <v>2830</v>
      </c>
      <c r="AD52" s="42">
        <v>185</v>
      </c>
      <c r="AE52" s="42">
        <v>604</v>
      </c>
      <c r="AF52" s="42">
        <v>418</v>
      </c>
      <c r="AG52" s="42">
        <v>76</v>
      </c>
      <c r="AH52" s="42">
        <v>116</v>
      </c>
      <c r="AI52" s="42">
        <v>1860</v>
      </c>
      <c r="AJ52" s="42">
        <v>130</v>
      </c>
      <c r="AK52" s="42" t="s">
        <v>2</v>
      </c>
      <c r="AL52" s="42"/>
      <c r="AM52" s="42">
        <v>92</v>
      </c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</row>
    <row r="53" spans="1:56" hidden="1" x14ac:dyDescent="0.25">
      <c r="A53" s="40" t="s">
        <v>49</v>
      </c>
      <c r="B53" s="41">
        <v>19</v>
      </c>
      <c r="C53" s="40" t="s">
        <v>71</v>
      </c>
      <c r="D53" s="40" t="s">
        <v>17</v>
      </c>
      <c r="E53" s="40" t="s">
        <v>88</v>
      </c>
      <c r="F53" s="40">
        <v>2013</v>
      </c>
      <c r="G53" s="42">
        <v>17191</v>
      </c>
      <c r="H53" s="42">
        <v>7514</v>
      </c>
      <c r="I53" s="42">
        <v>9677</v>
      </c>
      <c r="J53" s="42">
        <v>75177</v>
      </c>
      <c r="K53" s="42">
        <v>250</v>
      </c>
      <c r="L53" s="42">
        <v>52</v>
      </c>
      <c r="M53" s="42">
        <v>80</v>
      </c>
      <c r="N53" s="42">
        <v>14351</v>
      </c>
      <c r="O53" s="42">
        <v>258644.31615898266</v>
      </c>
      <c r="P53" s="42">
        <v>10674</v>
      </c>
      <c r="Q53" s="42">
        <v>16396</v>
      </c>
      <c r="R53" s="42">
        <v>3499</v>
      </c>
      <c r="S53" s="42">
        <v>4536</v>
      </c>
      <c r="T53" s="42"/>
      <c r="U53" s="42"/>
      <c r="V53" s="42">
        <v>6451</v>
      </c>
      <c r="W53" s="42">
        <v>3199</v>
      </c>
      <c r="X53" s="42">
        <v>3069</v>
      </c>
      <c r="Y53" s="42">
        <v>2967</v>
      </c>
      <c r="Z53" s="42">
        <v>17191</v>
      </c>
      <c r="AA53" s="42">
        <v>181234995</v>
      </c>
      <c r="AB53" s="42">
        <v>891</v>
      </c>
      <c r="AC53" s="42">
        <v>14596</v>
      </c>
      <c r="AD53" s="42">
        <v>596</v>
      </c>
      <c r="AE53" s="42">
        <v>1779</v>
      </c>
      <c r="AF53" s="42">
        <v>1703</v>
      </c>
      <c r="AG53" s="42">
        <v>408</v>
      </c>
      <c r="AH53" s="42">
        <v>355</v>
      </c>
      <c r="AI53" s="42">
        <v>44762</v>
      </c>
      <c r="AJ53" s="42">
        <v>4064</v>
      </c>
      <c r="AK53" s="42" t="s">
        <v>2</v>
      </c>
      <c r="AL53" s="42">
        <v>2682</v>
      </c>
      <c r="AM53" s="42">
        <v>37828</v>
      </c>
      <c r="AN53" s="42">
        <v>617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</row>
    <row r="54" spans="1:56" hidden="1" x14ac:dyDescent="0.25">
      <c r="A54" s="40" t="s">
        <v>50</v>
      </c>
      <c r="B54" s="41">
        <v>20</v>
      </c>
      <c r="C54" s="40" t="s">
        <v>85</v>
      </c>
      <c r="D54" s="40" t="s">
        <v>28</v>
      </c>
      <c r="E54" s="40" t="s">
        <v>88</v>
      </c>
      <c r="F54" s="40">
        <v>2013</v>
      </c>
      <c r="G54" s="42">
        <v>6603</v>
      </c>
      <c r="H54" s="42">
        <v>2396</v>
      </c>
      <c r="I54" s="42">
        <v>4207</v>
      </c>
      <c r="J54" s="42">
        <v>63618</v>
      </c>
      <c r="K54" s="42">
        <v>106</v>
      </c>
      <c r="L54" s="42">
        <v>8</v>
      </c>
      <c r="M54" s="42">
        <v>32</v>
      </c>
      <c r="N54" s="42">
        <v>5119</v>
      </c>
      <c r="O54" s="42">
        <v>244037.21660395796</v>
      </c>
      <c r="P54" s="42">
        <v>3072</v>
      </c>
      <c r="Q54" s="42">
        <v>6750</v>
      </c>
      <c r="R54" s="42">
        <v>1293</v>
      </c>
      <c r="S54" s="42">
        <v>1732</v>
      </c>
      <c r="T54" s="42"/>
      <c r="U54" s="42"/>
      <c r="V54" s="42">
        <v>2468</v>
      </c>
      <c r="W54" s="42">
        <v>1194</v>
      </c>
      <c r="X54" s="42">
        <v>1152</v>
      </c>
      <c r="Y54" s="42">
        <v>891</v>
      </c>
      <c r="Z54" s="42"/>
      <c r="AA54" s="42"/>
      <c r="AB54" s="42">
        <v>382</v>
      </c>
      <c r="AC54" s="42">
        <v>6073</v>
      </c>
      <c r="AD54" s="42">
        <v>296</v>
      </c>
      <c r="AE54" s="42">
        <v>1234</v>
      </c>
      <c r="AF54" s="42">
        <v>420</v>
      </c>
      <c r="AG54" s="42">
        <v>139</v>
      </c>
      <c r="AH54" s="42">
        <v>196</v>
      </c>
      <c r="AI54" s="42">
        <v>2817</v>
      </c>
      <c r="AJ54" s="42">
        <v>65</v>
      </c>
      <c r="AK54" s="42" t="s">
        <v>2</v>
      </c>
      <c r="AL54" s="42"/>
      <c r="AM54" s="42">
        <v>462</v>
      </c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</row>
    <row r="55" spans="1:56" hidden="1" x14ac:dyDescent="0.25">
      <c r="A55" s="40" t="s">
        <v>49</v>
      </c>
      <c r="B55" s="41">
        <v>21</v>
      </c>
      <c r="C55" s="40" t="s">
        <v>72</v>
      </c>
      <c r="D55" s="40" t="s">
        <v>18</v>
      </c>
      <c r="E55" s="40" t="s">
        <v>88</v>
      </c>
      <c r="F55" s="40">
        <v>2013</v>
      </c>
      <c r="G55" s="42">
        <v>7277</v>
      </c>
      <c r="H55" s="42">
        <v>2813</v>
      </c>
      <c r="I55" s="42">
        <v>4464</v>
      </c>
      <c r="J55" s="42">
        <v>99239</v>
      </c>
      <c r="K55" s="42">
        <v>141</v>
      </c>
      <c r="L55" s="42">
        <v>37</v>
      </c>
      <c r="M55" s="42">
        <v>56</v>
      </c>
      <c r="N55" s="42">
        <v>6125</v>
      </c>
      <c r="O55" s="42">
        <v>366372.62420574436</v>
      </c>
      <c r="P55" s="42">
        <v>4136</v>
      </c>
      <c r="Q55" s="42">
        <v>7539</v>
      </c>
      <c r="R55" s="42">
        <v>1934</v>
      </c>
      <c r="S55" s="42">
        <v>868</v>
      </c>
      <c r="T55" s="42"/>
      <c r="U55" s="42"/>
      <c r="V55" s="42">
        <v>3093</v>
      </c>
      <c r="W55" s="42">
        <v>1760</v>
      </c>
      <c r="X55" s="42">
        <v>1621</v>
      </c>
      <c r="Y55" s="42">
        <v>1546</v>
      </c>
      <c r="Z55" s="42">
        <v>7277</v>
      </c>
      <c r="AA55" s="42">
        <v>124199174</v>
      </c>
      <c r="AB55" s="42">
        <v>392</v>
      </c>
      <c r="AC55" s="42">
        <v>6986</v>
      </c>
      <c r="AD55" s="42">
        <v>338</v>
      </c>
      <c r="AE55" s="42">
        <v>1715</v>
      </c>
      <c r="AF55" s="42">
        <v>875</v>
      </c>
      <c r="AG55" s="42">
        <v>267</v>
      </c>
      <c r="AH55" s="42">
        <v>262</v>
      </c>
      <c r="AI55" s="42">
        <v>7054</v>
      </c>
      <c r="AJ55" s="42">
        <v>567</v>
      </c>
      <c r="AK55" s="42">
        <v>3</v>
      </c>
      <c r="AL55" s="42">
        <v>4598</v>
      </c>
      <c r="AM55" s="42">
        <v>5358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</row>
    <row r="56" spans="1:56" hidden="1" x14ac:dyDescent="0.25">
      <c r="A56" s="40" t="s">
        <v>49</v>
      </c>
      <c r="B56" s="41">
        <v>22</v>
      </c>
      <c r="C56" s="40" t="s">
        <v>73</v>
      </c>
      <c r="D56" s="40" t="s">
        <v>29</v>
      </c>
      <c r="E56" s="40" t="s">
        <v>88</v>
      </c>
      <c r="F56" s="40">
        <v>2013</v>
      </c>
      <c r="G56" s="42">
        <v>3224</v>
      </c>
      <c r="H56" s="42">
        <v>1347</v>
      </c>
      <c r="I56" s="42">
        <v>1877</v>
      </c>
      <c r="J56" s="42">
        <v>28481</v>
      </c>
      <c r="K56" s="42">
        <v>51</v>
      </c>
      <c r="L56" s="42">
        <v>12</v>
      </c>
      <c r="M56" s="42">
        <v>28</v>
      </c>
      <c r="N56" s="42">
        <v>2742</v>
      </c>
      <c r="O56" s="42">
        <v>113507.25317716529</v>
      </c>
      <c r="P56" s="42">
        <v>2178</v>
      </c>
      <c r="Q56" s="42">
        <v>3014</v>
      </c>
      <c r="R56" s="42">
        <v>748</v>
      </c>
      <c r="S56" s="42">
        <v>888</v>
      </c>
      <c r="T56" s="42"/>
      <c r="U56" s="42"/>
      <c r="V56" s="42">
        <v>1048</v>
      </c>
      <c r="W56" s="42">
        <v>703</v>
      </c>
      <c r="X56" s="42">
        <v>606</v>
      </c>
      <c r="Y56" s="42">
        <v>528</v>
      </c>
      <c r="Z56" s="42">
        <v>3224</v>
      </c>
      <c r="AA56" s="42">
        <v>38235173</v>
      </c>
      <c r="AB56" s="42">
        <v>243</v>
      </c>
      <c r="AC56" s="42">
        <v>2853</v>
      </c>
      <c r="AD56" s="42">
        <v>206</v>
      </c>
      <c r="AE56" s="42">
        <v>632</v>
      </c>
      <c r="AF56" s="42">
        <v>354</v>
      </c>
      <c r="AG56" s="42">
        <v>110</v>
      </c>
      <c r="AH56" s="42">
        <v>107</v>
      </c>
      <c r="AI56" s="42">
        <v>4856</v>
      </c>
      <c r="AJ56" s="42">
        <v>219</v>
      </c>
      <c r="AK56" s="42">
        <v>1</v>
      </c>
      <c r="AL56" s="42">
        <v>988</v>
      </c>
      <c r="AM56" s="42">
        <v>4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</row>
    <row r="57" spans="1:56" hidden="1" x14ac:dyDescent="0.25">
      <c r="A57" s="40" t="s">
        <v>49</v>
      </c>
      <c r="B57" s="41">
        <v>23</v>
      </c>
      <c r="C57" s="40" t="s">
        <v>74</v>
      </c>
      <c r="D57" s="40" t="s">
        <v>19</v>
      </c>
      <c r="E57" s="40" t="s">
        <v>88</v>
      </c>
      <c r="F57" s="40">
        <v>2013</v>
      </c>
      <c r="G57" s="42">
        <v>8835</v>
      </c>
      <c r="H57" s="42">
        <v>3422</v>
      </c>
      <c r="I57" s="42">
        <v>5413</v>
      </c>
      <c r="J57" s="42">
        <v>20556</v>
      </c>
      <c r="K57" s="42">
        <v>104</v>
      </c>
      <c r="L57" s="42">
        <v>18</v>
      </c>
      <c r="M57" s="42">
        <v>29</v>
      </c>
      <c r="N57" s="42">
        <v>6863</v>
      </c>
      <c r="O57" s="42">
        <v>80603.226862702431</v>
      </c>
      <c r="P57" s="42">
        <v>3967</v>
      </c>
      <c r="Q57" s="42">
        <v>8685</v>
      </c>
      <c r="R57" s="42">
        <v>2104</v>
      </c>
      <c r="S57" s="42">
        <v>2260</v>
      </c>
      <c r="T57" s="42"/>
      <c r="U57" s="42"/>
      <c r="V57" s="42">
        <v>3302</v>
      </c>
      <c r="W57" s="42">
        <v>1858</v>
      </c>
      <c r="X57" s="42">
        <v>1943</v>
      </c>
      <c r="Y57" s="42">
        <v>1886</v>
      </c>
      <c r="Z57" s="42">
        <v>8835</v>
      </c>
      <c r="AA57" s="42">
        <v>83082049</v>
      </c>
      <c r="AB57" s="42">
        <v>409</v>
      </c>
      <c r="AC57" s="42">
        <v>8228</v>
      </c>
      <c r="AD57" s="42">
        <v>339</v>
      </c>
      <c r="AE57" s="42">
        <v>1495</v>
      </c>
      <c r="AF57" s="42">
        <v>854</v>
      </c>
      <c r="AG57" s="42">
        <v>293</v>
      </c>
      <c r="AH57" s="42">
        <v>259</v>
      </c>
      <c r="AI57" s="42">
        <v>8547</v>
      </c>
      <c r="AJ57" s="42">
        <v>650</v>
      </c>
      <c r="AK57" s="42">
        <v>3</v>
      </c>
      <c r="AL57" s="42">
        <v>5056</v>
      </c>
      <c r="AM57" s="42">
        <v>1653</v>
      </c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56" hidden="1" x14ac:dyDescent="0.25">
      <c r="A58" s="40" t="s">
        <v>49</v>
      </c>
      <c r="B58" s="41">
        <v>24</v>
      </c>
      <c r="C58" s="40" t="s">
        <v>75</v>
      </c>
      <c r="D58" s="40" t="s">
        <v>20</v>
      </c>
      <c r="E58" s="40" t="s">
        <v>88</v>
      </c>
      <c r="F58" s="40">
        <v>2013</v>
      </c>
      <c r="G58" s="42">
        <v>5373</v>
      </c>
      <c r="H58" s="42">
        <v>2113</v>
      </c>
      <c r="I58" s="42">
        <v>3260</v>
      </c>
      <c r="J58" s="42">
        <v>44201</v>
      </c>
      <c r="K58" s="42">
        <v>84</v>
      </c>
      <c r="L58" s="42">
        <v>24</v>
      </c>
      <c r="M58" s="42">
        <v>28</v>
      </c>
      <c r="N58" s="42">
        <v>4365</v>
      </c>
      <c r="O58" s="42">
        <v>162591.23938538344</v>
      </c>
      <c r="P58" s="42">
        <v>2513</v>
      </c>
      <c r="Q58" s="42">
        <v>5478</v>
      </c>
      <c r="R58" s="42">
        <v>1182</v>
      </c>
      <c r="S58" s="42">
        <v>2021</v>
      </c>
      <c r="T58" s="42"/>
      <c r="U58" s="42"/>
      <c r="V58" s="42">
        <v>2270</v>
      </c>
      <c r="W58" s="42">
        <v>1099</v>
      </c>
      <c r="X58" s="42">
        <v>951</v>
      </c>
      <c r="Y58" s="42">
        <v>886</v>
      </c>
      <c r="Z58" s="42">
        <v>5373</v>
      </c>
      <c r="AA58" s="42">
        <v>72691037</v>
      </c>
      <c r="AB58" s="42">
        <v>327</v>
      </c>
      <c r="AC58" s="42">
        <v>4814</v>
      </c>
      <c r="AD58" s="42">
        <v>263</v>
      </c>
      <c r="AE58" s="42">
        <v>862</v>
      </c>
      <c r="AF58" s="42">
        <v>398</v>
      </c>
      <c r="AG58" s="42">
        <v>196</v>
      </c>
      <c r="AH58" s="42">
        <v>145</v>
      </c>
      <c r="AI58" s="42">
        <v>8025</v>
      </c>
      <c r="AJ58" s="42">
        <v>711</v>
      </c>
      <c r="AK58" s="42">
        <v>1</v>
      </c>
      <c r="AL58" s="42">
        <v>4411</v>
      </c>
      <c r="AM58" s="42">
        <v>903</v>
      </c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hidden="1" x14ac:dyDescent="0.25">
      <c r="A59" s="40" t="s">
        <v>49</v>
      </c>
      <c r="B59" s="41">
        <v>25</v>
      </c>
      <c r="C59" s="40" t="s">
        <v>76</v>
      </c>
      <c r="D59" s="40" t="s">
        <v>21</v>
      </c>
      <c r="E59" s="40" t="s">
        <v>88</v>
      </c>
      <c r="F59" s="40">
        <v>2013</v>
      </c>
      <c r="G59" s="42">
        <v>9306</v>
      </c>
      <c r="H59" s="42">
        <v>3734</v>
      </c>
      <c r="I59" s="42">
        <v>5572</v>
      </c>
      <c r="J59" s="42">
        <v>47345</v>
      </c>
      <c r="K59" s="42">
        <v>180</v>
      </c>
      <c r="L59" s="42">
        <v>48</v>
      </c>
      <c r="M59" s="42">
        <v>49</v>
      </c>
      <c r="N59" s="42">
        <v>7757</v>
      </c>
      <c r="O59" s="42">
        <v>166876.95846203336</v>
      </c>
      <c r="P59" s="42">
        <v>4530</v>
      </c>
      <c r="Q59" s="42">
        <v>9564</v>
      </c>
      <c r="R59" s="42">
        <v>2408</v>
      </c>
      <c r="S59" s="42">
        <v>2297</v>
      </c>
      <c r="T59" s="42"/>
      <c r="U59" s="42"/>
      <c r="V59" s="42">
        <v>3555</v>
      </c>
      <c r="W59" s="42">
        <v>2310</v>
      </c>
      <c r="X59" s="42">
        <v>2090</v>
      </c>
      <c r="Y59" s="42">
        <v>2080</v>
      </c>
      <c r="Z59" s="42">
        <v>9306</v>
      </c>
      <c r="AA59" s="42">
        <v>184315590</v>
      </c>
      <c r="AB59" s="42">
        <v>612</v>
      </c>
      <c r="AC59" s="42">
        <v>8907</v>
      </c>
      <c r="AD59" s="42">
        <v>567</v>
      </c>
      <c r="AE59" s="42">
        <v>2323</v>
      </c>
      <c r="AF59" s="42">
        <v>986</v>
      </c>
      <c r="AG59" s="42">
        <v>301</v>
      </c>
      <c r="AH59" s="42">
        <v>470</v>
      </c>
      <c r="AI59" s="42">
        <v>7312</v>
      </c>
      <c r="AJ59" s="42">
        <v>388</v>
      </c>
      <c r="AK59" s="42">
        <v>1</v>
      </c>
      <c r="AL59" s="42">
        <v>1682</v>
      </c>
      <c r="AM59" s="42">
        <v>0</v>
      </c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</row>
    <row r="60" spans="1:56" hidden="1" x14ac:dyDescent="0.25">
      <c r="A60" s="40" t="s">
        <v>49</v>
      </c>
      <c r="B60" s="41">
        <v>26</v>
      </c>
      <c r="C60" s="40" t="s">
        <v>77</v>
      </c>
      <c r="D60" s="40" t="s">
        <v>22</v>
      </c>
      <c r="E60" s="40" t="s">
        <v>88</v>
      </c>
      <c r="F60" s="40">
        <v>2013</v>
      </c>
      <c r="G60" s="42">
        <v>12900</v>
      </c>
      <c r="H60" s="42">
        <v>5501</v>
      </c>
      <c r="I60" s="42">
        <v>7399</v>
      </c>
      <c r="J60" s="42">
        <v>46866</v>
      </c>
      <c r="K60" s="42">
        <v>241</v>
      </c>
      <c r="L60" s="42">
        <v>35</v>
      </c>
      <c r="M60" s="42">
        <v>45</v>
      </c>
      <c r="N60" s="42">
        <v>11004</v>
      </c>
      <c r="O60" s="42">
        <v>157243.00090581051</v>
      </c>
      <c r="P60" s="42">
        <v>5613</v>
      </c>
      <c r="Q60" s="42">
        <v>12561</v>
      </c>
      <c r="R60" s="42">
        <v>2760</v>
      </c>
      <c r="S60" s="42">
        <v>4567</v>
      </c>
      <c r="T60" s="42"/>
      <c r="U60" s="42"/>
      <c r="V60" s="42">
        <v>5662</v>
      </c>
      <c r="W60" s="42">
        <v>2545</v>
      </c>
      <c r="X60" s="42">
        <v>2121</v>
      </c>
      <c r="Y60" s="42">
        <v>1905</v>
      </c>
      <c r="Z60" s="42">
        <v>12900</v>
      </c>
      <c r="AA60" s="42">
        <v>186557052</v>
      </c>
      <c r="AB60" s="42">
        <v>521</v>
      </c>
      <c r="AC60" s="42">
        <v>11757</v>
      </c>
      <c r="AD60" s="42">
        <v>661</v>
      </c>
      <c r="AE60" s="42">
        <v>2362</v>
      </c>
      <c r="AF60" s="42">
        <v>993</v>
      </c>
      <c r="AG60" s="42">
        <v>352</v>
      </c>
      <c r="AH60" s="42">
        <v>405</v>
      </c>
      <c r="AI60" s="42">
        <v>11874</v>
      </c>
      <c r="AJ60" s="42">
        <v>1364</v>
      </c>
      <c r="AK60" s="42" t="s">
        <v>2</v>
      </c>
      <c r="AL60" s="42"/>
      <c r="AM60" s="42">
        <v>0</v>
      </c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</row>
    <row r="61" spans="1:56" hidden="1" x14ac:dyDescent="0.25">
      <c r="A61" s="40" t="s">
        <v>49</v>
      </c>
      <c r="B61" s="41">
        <v>27</v>
      </c>
      <c r="C61" s="40" t="s">
        <v>78</v>
      </c>
      <c r="D61" s="40" t="s">
        <v>23</v>
      </c>
      <c r="E61" s="40" t="s">
        <v>88</v>
      </c>
      <c r="F61" s="40">
        <v>2013</v>
      </c>
      <c r="G61" s="42">
        <v>5452</v>
      </c>
      <c r="H61" s="42">
        <v>2164</v>
      </c>
      <c r="I61" s="42">
        <v>3288</v>
      </c>
      <c r="J61" s="42">
        <v>36668</v>
      </c>
      <c r="K61" s="42">
        <v>79</v>
      </c>
      <c r="L61" s="42">
        <v>21</v>
      </c>
      <c r="M61" s="42">
        <v>31</v>
      </c>
      <c r="N61" s="42">
        <v>4558</v>
      </c>
      <c r="O61" s="42">
        <v>134705.84663611482</v>
      </c>
      <c r="P61" s="42">
        <v>2164</v>
      </c>
      <c r="Q61" s="42">
        <v>5305</v>
      </c>
      <c r="R61" s="42">
        <v>1288</v>
      </c>
      <c r="S61" s="42">
        <v>911</v>
      </c>
      <c r="T61" s="42"/>
      <c r="U61" s="42"/>
      <c r="V61" s="42">
        <v>2193</v>
      </c>
      <c r="W61" s="42">
        <v>1138</v>
      </c>
      <c r="X61" s="42">
        <v>1080</v>
      </c>
      <c r="Y61" s="42">
        <v>1073</v>
      </c>
      <c r="Z61" s="42">
        <v>5452</v>
      </c>
      <c r="AA61" s="42">
        <v>92390906</v>
      </c>
      <c r="AB61" s="42">
        <v>296</v>
      </c>
      <c r="AC61" s="42">
        <v>4752</v>
      </c>
      <c r="AD61" s="42">
        <v>341</v>
      </c>
      <c r="AE61" s="42">
        <v>970</v>
      </c>
      <c r="AF61" s="42">
        <v>414</v>
      </c>
      <c r="AG61" s="42">
        <v>119</v>
      </c>
      <c r="AH61" s="42">
        <v>187</v>
      </c>
      <c r="AI61" s="42">
        <v>3145</v>
      </c>
      <c r="AJ61" s="42">
        <v>22</v>
      </c>
      <c r="AK61" s="42" t="s">
        <v>2</v>
      </c>
      <c r="AL61" s="42">
        <v>652</v>
      </c>
      <c r="AM61" s="42">
        <v>503</v>
      </c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</row>
    <row r="62" spans="1:56" hidden="1" x14ac:dyDescent="0.25">
      <c r="A62" s="40" t="s">
        <v>49</v>
      </c>
      <c r="B62" s="41">
        <v>28</v>
      </c>
      <c r="C62" s="40" t="s">
        <v>79</v>
      </c>
      <c r="D62" s="40" t="s">
        <v>24</v>
      </c>
      <c r="E62" s="40" t="s">
        <v>88</v>
      </c>
      <c r="F62" s="40">
        <v>2013</v>
      </c>
      <c r="G62" s="42">
        <v>9144</v>
      </c>
      <c r="H62" s="42">
        <v>3644</v>
      </c>
      <c r="I62" s="42">
        <v>5500</v>
      </c>
      <c r="J62" s="42">
        <v>45534</v>
      </c>
      <c r="K62" s="42">
        <v>143</v>
      </c>
      <c r="L62" s="42">
        <v>24</v>
      </c>
      <c r="M62" s="42">
        <v>53</v>
      </c>
      <c r="N62" s="42">
        <v>7784</v>
      </c>
      <c r="O62" s="42">
        <v>186145.71750308797</v>
      </c>
      <c r="P62" s="42">
        <v>4396</v>
      </c>
      <c r="Q62" s="42">
        <v>8923</v>
      </c>
      <c r="R62" s="42">
        <v>1841</v>
      </c>
      <c r="S62" s="42">
        <v>2383</v>
      </c>
      <c r="T62" s="42"/>
      <c r="U62" s="42"/>
      <c r="V62" s="42">
        <v>3133</v>
      </c>
      <c r="W62" s="42">
        <v>1672</v>
      </c>
      <c r="X62" s="42">
        <v>1817</v>
      </c>
      <c r="Y62" s="42">
        <v>1754</v>
      </c>
      <c r="Z62" s="42">
        <v>9144</v>
      </c>
      <c r="AA62" s="42">
        <v>143856893</v>
      </c>
      <c r="AB62" s="42">
        <v>412</v>
      </c>
      <c r="AC62" s="42">
        <v>8141</v>
      </c>
      <c r="AD62" s="42">
        <v>420</v>
      </c>
      <c r="AE62" s="42">
        <v>1377</v>
      </c>
      <c r="AF62" s="42">
        <v>939</v>
      </c>
      <c r="AG62" s="42">
        <v>209</v>
      </c>
      <c r="AH62" s="42">
        <v>291</v>
      </c>
      <c r="AI62" s="42">
        <v>16612</v>
      </c>
      <c r="AJ62" s="42">
        <v>466</v>
      </c>
      <c r="AK62" s="42">
        <v>3</v>
      </c>
      <c r="AL62" s="42">
        <v>5631</v>
      </c>
      <c r="AM62" s="42">
        <v>43</v>
      </c>
      <c r="AN62" s="42">
        <v>34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</row>
    <row r="63" spans="1:56" hidden="1" x14ac:dyDescent="0.25">
      <c r="A63" s="40" t="s">
        <v>49</v>
      </c>
      <c r="B63" s="41">
        <v>29</v>
      </c>
      <c r="C63" s="40" t="s">
        <v>80</v>
      </c>
      <c r="D63" s="40" t="s">
        <v>25</v>
      </c>
      <c r="E63" s="40" t="s">
        <v>88</v>
      </c>
      <c r="F63" s="40">
        <v>2013</v>
      </c>
      <c r="G63" s="42">
        <v>3098</v>
      </c>
      <c r="H63" s="42">
        <v>1269</v>
      </c>
      <c r="I63" s="42">
        <v>1829</v>
      </c>
      <c r="J63" s="42">
        <v>20885</v>
      </c>
      <c r="K63" s="42">
        <v>43</v>
      </c>
      <c r="L63" s="42">
        <v>11</v>
      </c>
      <c r="M63" s="42">
        <v>17</v>
      </c>
      <c r="N63" s="42">
        <v>2525</v>
      </c>
      <c r="O63" s="42">
        <v>73145.535441940141</v>
      </c>
      <c r="P63" s="42">
        <v>1516</v>
      </c>
      <c r="Q63" s="42">
        <v>3109</v>
      </c>
      <c r="R63" s="42">
        <v>682</v>
      </c>
      <c r="S63" s="42">
        <v>722</v>
      </c>
      <c r="T63" s="42"/>
      <c r="U63" s="42"/>
      <c r="V63" s="42">
        <v>1104</v>
      </c>
      <c r="W63" s="42">
        <v>628</v>
      </c>
      <c r="X63" s="42">
        <v>571</v>
      </c>
      <c r="Y63" s="42">
        <v>549</v>
      </c>
      <c r="Z63" s="42">
        <v>3098</v>
      </c>
      <c r="AA63" s="42">
        <v>35029811</v>
      </c>
      <c r="AB63" s="42">
        <v>207</v>
      </c>
      <c r="AC63" s="42">
        <v>2846</v>
      </c>
      <c r="AD63" s="42">
        <v>193</v>
      </c>
      <c r="AE63" s="42">
        <v>702</v>
      </c>
      <c r="AF63" s="42">
        <v>358</v>
      </c>
      <c r="AG63" s="42">
        <v>27</v>
      </c>
      <c r="AH63" s="42">
        <v>73</v>
      </c>
      <c r="AI63" s="42">
        <v>1385</v>
      </c>
      <c r="AJ63" s="42">
        <v>56</v>
      </c>
      <c r="AK63" s="42" t="s">
        <v>2</v>
      </c>
      <c r="AL63" s="42">
        <v>3098</v>
      </c>
      <c r="AM63" s="42">
        <v>0</v>
      </c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</row>
    <row r="64" spans="1:56" hidden="1" x14ac:dyDescent="0.25">
      <c r="A64" s="40" t="s">
        <v>49</v>
      </c>
      <c r="B64" s="41">
        <v>30</v>
      </c>
      <c r="C64" s="40" t="s">
        <v>81</v>
      </c>
      <c r="D64" s="40" t="s">
        <v>53</v>
      </c>
      <c r="E64" s="40" t="s">
        <v>88</v>
      </c>
      <c r="F64" s="40">
        <v>2013</v>
      </c>
      <c r="G64" s="42">
        <v>9096</v>
      </c>
      <c r="H64" s="42">
        <v>3472</v>
      </c>
      <c r="I64" s="42">
        <v>5624</v>
      </c>
      <c r="J64" s="42">
        <v>123917</v>
      </c>
      <c r="K64" s="42">
        <v>175</v>
      </c>
      <c r="L64" s="42">
        <v>36</v>
      </c>
      <c r="M64" s="42">
        <v>74</v>
      </c>
      <c r="N64" s="42">
        <v>7871</v>
      </c>
      <c r="O64" s="42">
        <v>456163.09147284296</v>
      </c>
      <c r="P64" s="42">
        <v>5246</v>
      </c>
      <c r="Q64" s="42">
        <v>9255</v>
      </c>
      <c r="R64" s="42">
        <v>2316</v>
      </c>
      <c r="S64" s="42">
        <v>2173</v>
      </c>
      <c r="T64" s="42"/>
      <c r="U64" s="42"/>
      <c r="V64" s="42">
        <v>3522</v>
      </c>
      <c r="W64" s="42">
        <v>2105</v>
      </c>
      <c r="X64" s="42">
        <v>2128</v>
      </c>
      <c r="Y64" s="42">
        <v>2026</v>
      </c>
      <c r="Z64" s="42">
        <v>9096</v>
      </c>
      <c r="AA64" s="42">
        <v>188756223</v>
      </c>
      <c r="AB64" s="42">
        <v>580</v>
      </c>
      <c r="AC64" s="42">
        <v>8530</v>
      </c>
      <c r="AD64" s="42">
        <v>342</v>
      </c>
      <c r="AE64" s="42">
        <v>1693</v>
      </c>
      <c r="AF64" s="42">
        <v>1302</v>
      </c>
      <c r="AG64" s="42">
        <v>365</v>
      </c>
      <c r="AH64" s="42">
        <v>397</v>
      </c>
      <c r="AI64" s="42">
        <v>10384</v>
      </c>
      <c r="AJ64" s="42">
        <v>245</v>
      </c>
      <c r="AK64" s="42">
        <v>3</v>
      </c>
      <c r="AL64" s="42">
        <v>5164</v>
      </c>
      <c r="AM64" s="42">
        <v>679</v>
      </c>
      <c r="AN64" s="42">
        <v>1185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56" hidden="1" x14ac:dyDescent="0.25">
      <c r="A65" s="40" t="s">
        <v>49</v>
      </c>
      <c r="B65" s="41">
        <v>31</v>
      </c>
      <c r="C65" s="40" t="s">
        <v>82</v>
      </c>
      <c r="D65" s="40" t="s">
        <v>26</v>
      </c>
      <c r="E65" s="40" t="s">
        <v>88</v>
      </c>
      <c r="F65" s="40">
        <v>2013</v>
      </c>
      <c r="G65" s="42">
        <v>4673</v>
      </c>
      <c r="H65" s="42">
        <v>1841</v>
      </c>
      <c r="I65" s="42">
        <v>2832</v>
      </c>
      <c r="J65" s="42">
        <v>29568</v>
      </c>
      <c r="K65" s="42">
        <v>68</v>
      </c>
      <c r="L65" s="42">
        <v>14</v>
      </c>
      <c r="M65" s="42">
        <v>22</v>
      </c>
      <c r="N65" s="42">
        <v>3554</v>
      </c>
      <c r="O65" s="42">
        <v>113002.20832453723</v>
      </c>
      <c r="P65" s="42">
        <v>2565</v>
      </c>
      <c r="Q65" s="42">
        <v>4409</v>
      </c>
      <c r="R65" s="42">
        <v>1138</v>
      </c>
      <c r="S65" s="42">
        <v>1442</v>
      </c>
      <c r="T65" s="42"/>
      <c r="U65" s="42"/>
      <c r="V65" s="42">
        <v>1972</v>
      </c>
      <c r="W65" s="42">
        <v>998</v>
      </c>
      <c r="X65" s="42">
        <v>774</v>
      </c>
      <c r="Y65" s="42">
        <v>729</v>
      </c>
      <c r="Z65" s="42">
        <v>4673</v>
      </c>
      <c r="AA65" s="42">
        <v>83899942</v>
      </c>
      <c r="AB65" s="42">
        <v>252</v>
      </c>
      <c r="AC65" s="42">
        <v>4447</v>
      </c>
      <c r="AD65" s="42">
        <v>302</v>
      </c>
      <c r="AE65" s="42">
        <v>1008</v>
      </c>
      <c r="AF65" s="42">
        <v>390</v>
      </c>
      <c r="AG65" s="42">
        <v>105</v>
      </c>
      <c r="AH65" s="42">
        <v>154</v>
      </c>
      <c r="AI65" s="42">
        <v>7791</v>
      </c>
      <c r="AJ65" s="42">
        <v>396</v>
      </c>
      <c r="AK65" s="42">
        <v>1</v>
      </c>
      <c r="AL65" s="42">
        <v>897</v>
      </c>
      <c r="AM65" s="42">
        <v>1487</v>
      </c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</row>
    <row r="66" spans="1:56" hidden="1" x14ac:dyDescent="0.25">
      <c r="A66" s="40" t="s">
        <v>49</v>
      </c>
      <c r="B66" s="41">
        <v>32</v>
      </c>
      <c r="C66" s="40" t="s">
        <v>83</v>
      </c>
      <c r="D66" s="40" t="s">
        <v>27</v>
      </c>
      <c r="E66" s="40" t="s">
        <v>88</v>
      </c>
      <c r="F66" s="40">
        <v>2013</v>
      </c>
      <c r="G66" s="42">
        <v>1759</v>
      </c>
      <c r="H66" s="42">
        <v>801</v>
      </c>
      <c r="I66" s="42">
        <v>958</v>
      </c>
      <c r="J66" s="42">
        <v>26220</v>
      </c>
      <c r="K66" s="42">
        <v>47</v>
      </c>
      <c r="L66" s="42">
        <v>15</v>
      </c>
      <c r="M66" s="42">
        <v>6</v>
      </c>
      <c r="N66" s="42">
        <v>1389</v>
      </c>
      <c r="O66" s="42">
        <v>91649.600964842932</v>
      </c>
      <c r="P66" s="42">
        <v>928</v>
      </c>
      <c r="Q66" s="42">
        <v>1722</v>
      </c>
      <c r="R66" s="42">
        <v>334</v>
      </c>
      <c r="S66" s="42">
        <v>715</v>
      </c>
      <c r="T66" s="42"/>
      <c r="U66" s="42"/>
      <c r="V66" s="42">
        <v>800</v>
      </c>
      <c r="W66" s="42">
        <v>287</v>
      </c>
      <c r="X66" s="42">
        <v>288</v>
      </c>
      <c r="Y66" s="42">
        <v>270</v>
      </c>
      <c r="Z66" s="42">
        <v>1759</v>
      </c>
      <c r="AA66" s="42">
        <v>30600067</v>
      </c>
      <c r="AB66" s="42">
        <v>88</v>
      </c>
      <c r="AC66" s="42">
        <v>1383</v>
      </c>
      <c r="AD66" s="42">
        <v>155</v>
      </c>
      <c r="AE66" s="42">
        <v>544</v>
      </c>
      <c r="AF66" s="42">
        <v>163</v>
      </c>
      <c r="AG66" s="42">
        <v>79</v>
      </c>
      <c r="AH66" s="42">
        <v>76</v>
      </c>
      <c r="AI66" s="42">
        <v>2125</v>
      </c>
      <c r="AJ66" s="42">
        <v>360</v>
      </c>
      <c r="AK66" s="42">
        <v>2</v>
      </c>
      <c r="AL66" s="42">
        <v>1528</v>
      </c>
      <c r="AM66" s="42">
        <v>57</v>
      </c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56" hidden="1" x14ac:dyDescent="0.25">
      <c r="A67" s="40" t="s">
        <v>134</v>
      </c>
      <c r="B67" s="41">
        <v>33</v>
      </c>
      <c r="C67" s="40" t="s">
        <v>135</v>
      </c>
      <c r="D67" s="40" t="s">
        <v>40</v>
      </c>
      <c r="E67" s="40" t="s">
        <v>88</v>
      </c>
      <c r="F67" s="40">
        <v>2013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</row>
    <row r="68" spans="1:56" hidden="1" x14ac:dyDescent="0.25">
      <c r="A68" s="43" t="s">
        <v>49</v>
      </c>
      <c r="B68" s="44">
        <v>1</v>
      </c>
      <c r="C68" s="43" t="s">
        <v>54</v>
      </c>
      <c r="D68" s="43" t="s">
        <v>1</v>
      </c>
      <c r="E68" s="43" t="s">
        <v>89</v>
      </c>
      <c r="F68" s="43">
        <v>2014</v>
      </c>
      <c r="G68" s="36">
        <v>4702</v>
      </c>
      <c r="H68" s="36">
        <v>1860</v>
      </c>
      <c r="I68" s="36">
        <v>2842</v>
      </c>
      <c r="J68" s="36">
        <v>22695</v>
      </c>
      <c r="K68" s="36">
        <v>84</v>
      </c>
      <c r="L68" s="36">
        <v>14</v>
      </c>
      <c r="M68" s="36">
        <v>19</v>
      </c>
      <c r="N68" s="36">
        <v>3971</v>
      </c>
      <c r="O68" s="36">
        <v>75527.697364606225</v>
      </c>
      <c r="P68" s="36">
        <v>3529</v>
      </c>
      <c r="Q68" s="36">
        <v>4724</v>
      </c>
      <c r="R68" s="36">
        <v>1355</v>
      </c>
      <c r="S68" s="36">
        <v>457</v>
      </c>
      <c r="T68" s="36"/>
      <c r="U68" s="36"/>
      <c r="V68" s="36">
        <v>2029</v>
      </c>
      <c r="W68" s="36">
        <v>1195</v>
      </c>
      <c r="X68" s="36">
        <v>1076</v>
      </c>
      <c r="Y68" s="36">
        <v>959</v>
      </c>
      <c r="Z68" s="36">
        <v>4702</v>
      </c>
      <c r="AA68" s="36">
        <v>54318738</v>
      </c>
      <c r="AB68" s="36">
        <v>298</v>
      </c>
      <c r="AC68" s="36">
        <v>4454</v>
      </c>
      <c r="AD68" s="36">
        <v>343</v>
      </c>
      <c r="AE68" s="36">
        <v>448</v>
      </c>
      <c r="AF68" s="36">
        <v>451</v>
      </c>
      <c r="AG68" s="36">
        <v>106</v>
      </c>
      <c r="AH68" s="36">
        <v>146</v>
      </c>
      <c r="AI68" s="36">
        <v>3707</v>
      </c>
      <c r="AJ68" s="36">
        <v>200</v>
      </c>
      <c r="AK68" s="36" t="s">
        <v>2</v>
      </c>
      <c r="AL68" s="36">
        <v>0</v>
      </c>
      <c r="AM68" s="36">
        <v>513</v>
      </c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</row>
    <row r="69" spans="1:56" hidden="1" x14ac:dyDescent="0.25">
      <c r="A69" s="43" t="s">
        <v>49</v>
      </c>
      <c r="B69" s="44">
        <v>2</v>
      </c>
      <c r="C69" s="43" t="s">
        <v>55</v>
      </c>
      <c r="D69" s="43" t="s">
        <v>3</v>
      </c>
      <c r="E69" s="43" t="s">
        <v>89</v>
      </c>
      <c r="F69" s="43">
        <v>2014</v>
      </c>
      <c r="G69" s="36">
        <v>8064</v>
      </c>
      <c r="H69" s="36">
        <v>3277</v>
      </c>
      <c r="I69" s="36">
        <v>4787</v>
      </c>
      <c r="J69" s="36">
        <v>52307</v>
      </c>
      <c r="K69" s="36">
        <v>118</v>
      </c>
      <c r="L69" s="36">
        <v>16</v>
      </c>
      <c r="M69" s="36">
        <v>25</v>
      </c>
      <c r="N69" s="36">
        <v>6550</v>
      </c>
      <c r="O69" s="36">
        <v>192061.00847132175</v>
      </c>
      <c r="P69" s="36">
        <v>3831</v>
      </c>
      <c r="Q69" s="36">
        <v>7923</v>
      </c>
      <c r="R69" s="36">
        <v>1696</v>
      </c>
      <c r="S69" s="36">
        <v>2909</v>
      </c>
      <c r="T69" s="36"/>
      <c r="U69" s="36"/>
      <c r="V69" s="36">
        <v>3537</v>
      </c>
      <c r="W69" s="36">
        <v>1508</v>
      </c>
      <c r="X69" s="36">
        <v>1654</v>
      </c>
      <c r="Y69" s="36">
        <v>1469</v>
      </c>
      <c r="Z69" s="36">
        <v>8064</v>
      </c>
      <c r="AA69" s="36">
        <v>116478902</v>
      </c>
      <c r="AB69" s="36">
        <v>395</v>
      </c>
      <c r="AC69" s="36">
        <v>7178</v>
      </c>
      <c r="AD69" s="36">
        <v>309</v>
      </c>
      <c r="AE69" s="36">
        <v>433</v>
      </c>
      <c r="AF69" s="36">
        <v>627</v>
      </c>
      <c r="AG69" s="36">
        <v>113</v>
      </c>
      <c r="AH69" s="36">
        <v>203</v>
      </c>
      <c r="AI69" s="36">
        <v>5889</v>
      </c>
      <c r="AJ69" s="36">
        <v>239</v>
      </c>
      <c r="AK69" s="36">
        <v>6</v>
      </c>
      <c r="AL69" s="36">
        <v>8064</v>
      </c>
      <c r="AM69" s="36">
        <v>21</v>
      </c>
      <c r="AN69" s="36">
        <v>998</v>
      </c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</row>
    <row r="70" spans="1:56" hidden="1" x14ac:dyDescent="0.25">
      <c r="A70" s="43" t="s">
        <v>49</v>
      </c>
      <c r="B70" s="44">
        <v>3</v>
      </c>
      <c r="C70" s="43" t="s">
        <v>56</v>
      </c>
      <c r="D70" s="43" t="s">
        <v>4</v>
      </c>
      <c r="E70" s="43" t="s">
        <v>89</v>
      </c>
      <c r="F70" s="43">
        <v>2014</v>
      </c>
      <c r="G70" s="36">
        <v>1962</v>
      </c>
      <c r="H70" s="36">
        <v>709</v>
      </c>
      <c r="I70" s="36">
        <v>1253</v>
      </c>
      <c r="J70" s="36">
        <v>10688</v>
      </c>
      <c r="K70" s="36">
        <v>17</v>
      </c>
      <c r="L70" s="36">
        <v>6</v>
      </c>
      <c r="M70" s="36">
        <v>2</v>
      </c>
      <c r="N70" s="36">
        <v>1514</v>
      </c>
      <c r="O70" s="36">
        <v>39449.577969580379</v>
      </c>
      <c r="P70" s="36">
        <v>1155</v>
      </c>
      <c r="Q70" s="36">
        <v>2058</v>
      </c>
      <c r="R70" s="36">
        <v>399</v>
      </c>
      <c r="S70" s="36">
        <v>487</v>
      </c>
      <c r="T70" s="36"/>
      <c r="U70" s="36"/>
      <c r="V70" s="36">
        <v>585</v>
      </c>
      <c r="W70" s="36">
        <v>331</v>
      </c>
      <c r="X70" s="36">
        <v>366</v>
      </c>
      <c r="Y70" s="36">
        <v>363</v>
      </c>
      <c r="Z70" s="36">
        <v>1962</v>
      </c>
      <c r="AA70" s="36">
        <v>29174547</v>
      </c>
      <c r="AB70" s="36">
        <v>95</v>
      </c>
      <c r="AC70" s="36">
        <v>1821</v>
      </c>
      <c r="AD70" s="36">
        <v>138</v>
      </c>
      <c r="AE70" s="36">
        <v>188</v>
      </c>
      <c r="AF70" s="36">
        <v>217</v>
      </c>
      <c r="AG70" s="36">
        <v>46</v>
      </c>
      <c r="AH70" s="36">
        <v>59</v>
      </c>
      <c r="AI70" s="36">
        <v>1164</v>
      </c>
      <c r="AJ70" s="36">
        <v>267</v>
      </c>
      <c r="AK70" s="36" t="s">
        <v>2</v>
      </c>
      <c r="AL70" s="36">
        <v>0</v>
      </c>
      <c r="AM70" s="36">
        <v>0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56" hidden="1" x14ac:dyDescent="0.25">
      <c r="A71" s="43" t="s">
        <v>49</v>
      </c>
      <c r="B71" s="44">
        <v>4</v>
      </c>
      <c r="C71" s="43" t="s">
        <v>57</v>
      </c>
      <c r="D71" s="43" t="s">
        <v>5</v>
      </c>
      <c r="E71" s="43" t="s">
        <v>89</v>
      </c>
      <c r="F71" s="43">
        <v>2014</v>
      </c>
      <c r="G71" s="36">
        <v>1918</v>
      </c>
      <c r="H71" s="36">
        <v>744</v>
      </c>
      <c r="I71" s="36">
        <v>1174</v>
      </c>
      <c r="J71" s="36">
        <v>12251</v>
      </c>
      <c r="K71" s="36">
        <v>38</v>
      </c>
      <c r="L71" s="36">
        <v>6</v>
      </c>
      <c r="M71" s="36">
        <v>17</v>
      </c>
      <c r="N71" s="36">
        <v>1342</v>
      </c>
      <c r="O71" s="36">
        <v>49198.152137247227</v>
      </c>
      <c r="P71" s="36">
        <v>914</v>
      </c>
      <c r="Q71" s="36">
        <v>1930</v>
      </c>
      <c r="R71" s="36">
        <v>362</v>
      </c>
      <c r="S71" s="36">
        <v>544</v>
      </c>
      <c r="T71" s="36"/>
      <c r="U71" s="36"/>
      <c r="V71" s="36">
        <v>769</v>
      </c>
      <c r="W71" s="36">
        <v>321</v>
      </c>
      <c r="X71" s="36">
        <v>347</v>
      </c>
      <c r="Y71" s="36">
        <v>338</v>
      </c>
      <c r="Z71" s="36">
        <v>1918</v>
      </c>
      <c r="AA71" s="36">
        <v>34927941</v>
      </c>
      <c r="AB71" s="36">
        <v>107</v>
      </c>
      <c r="AC71" s="36">
        <v>1618</v>
      </c>
      <c r="AD71" s="36">
        <v>153</v>
      </c>
      <c r="AE71" s="36">
        <v>212</v>
      </c>
      <c r="AF71" s="36">
        <v>311</v>
      </c>
      <c r="AG71" s="36">
        <v>63</v>
      </c>
      <c r="AH71" s="36">
        <v>71</v>
      </c>
      <c r="AI71" s="36">
        <v>1325</v>
      </c>
      <c r="AJ71" s="36">
        <v>170</v>
      </c>
      <c r="AK71" s="36">
        <v>3</v>
      </c>
      <c r="AL71" s="36">
        <v>1918</v>
      </c>
      <c r="AM71" s="36">
        <v>337</v>
      </c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6" hidden="1" x14ac:dyDescent="0.25">
      <c r="A72" s="43" t="s">
        <v>49</v>
      </c>
      <c r="B72" s="44">
        <v>7</v>
      </c>
      <c r="C72" s="43" t="s">
        <v>58</v>
      </c>
      <c r="D72" s="43" t="s">
        <v>6</v>
      </c>
      <c r="E72" s="43" t="s">
        <v>89</v>
      </c>
      <c r="F72" s="43">
        <v>2014</v>
      </c>
      <c r="G72" s="36">
        <v>7561</v>
      </c>
      <c r="H72" s="36">
        <v>2807</v>
      </c>
      <c r="I72" s="36">
        <v>4754</v>
      </c>
      <c r="J72" s="36">
        <v>88123</v>
      </c>
      <c r="K72" s="36">
        <v>148</v>
      </c>
      <c r="L72" s="36">
        <v>19</v>
      </c>
      <c r="M72" s="36">
        <v>42</v>
      </c>
      <c r="N72" s="36">
        <v>5709</v>
      </c>
      <c r="O72" s="36">
        <v>340566.79062819039</v>
      </c>
      <c r="P72" s="36">
        <v>3745</v>
      </c>
      <c r="Q72" s="36">
        <v>7916</v>
      </c>
      <c r="R72" s="36">
        <v>2004</v>
      </c>
      <c r="S72" s="36">
        <v>1596</v>
      </c>
      <c r="T72" s="36"/>
      <c r="U72" s="36"/>
      <c r="V72" s="36">
        <v>3283</v>
      </c>
      <c r="W72" s="36">
        <v>1826</v>
      </c>
      <c r="X72" s="36">
        <v>1710</v>
      </c>
      <c r="Y72" s="36">
        <v>1545</v>
      </c>
      <c r="Z72" s="36">
        <v>7561</v>
      </c>
      <c r="AA72" s="36">
        <v>135011976</v>
      </c>
      <c r="AB72" s="36">
        <v>450</v>
      </c>
      <c r="AC72" s="36">
        <v>7146</v>
      </c>
      <c r="AD72" s="36">
        <v>416</v>
      </c>
      <c r="AE72" s="36">
        <v>641</v>
      </c>
      <c r="AF72" s="36">
        <v>679</v>
      </c>
      <c r="AG72" s="36">
        <v>133</v>
      </c>
      <c r="AH72" s="36">
        <v>234</v>
      </c>
      <c r="AI72" s="36">
        <v>4291</v>
      </c>
      <c r="AJ72" s="36">
        <v>50</v>
      </c>
      <c r="AK72" s="36">
        <v>2</v>
      </c>
      <c r="AL72" s="36">
        <v>2103</v>
      </c>
      <c r="AM72" s="36">
        <v>376</v>
      </c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hidden="1" x14ac:dyDescent="0.25">
      <c r="A73" s="43" t="s">
        <v>49</v>
      </c>
      <c r="B73" s="44">
        <v>8</v>
      </c>
      <c r="C73" s="43" t="s">
        <v>59</v>
      </c>
      <c r="D73" s="43" t="s">
        <v>7</v>
      </c>
      <c r="E73" s="43" t="s">
        <v>89</v>
      </c>
      <c r="F73" s="43">
        <v>2014</v>
      </c>
      <c r="G73" s="36">
        <v>9728</v>
      </c>
      <c r="H73" s="36">
        <v>3922</v>
      </c>
      <c r="I73" s="36">
        <v>5806</v>
      </c>
      <c r="J73" s="36">
        <v>53751</v>
      </c>
      <c r="K73" s="36">
        <v>154</v>
      </c>
      <c r="L73" s="36">
        <v>25</v>
      </c>
      <c r="M73" s="36">
        <v>45</v>
      </c>
      <c r="N73" s="36">
        <v>8012</v>
      </c>
      <c r="O73" s="36">
        <v>201857.30158643681</v>
      </c>
      <c r="P73" s="36">
        <v>4560</v>
      </c>
      <c r="Q73" s="36">
        <v>9072</v>
      </c>
      <c r="R73" s="36">
        <v>1944</v>
      </c>
      <c r="S73" s="36">
        <v>2654</v>
      </c>
      <c r="T73" s="36"/>
      <c r="U73" s="36"/>
      <c r="V73" s="36">
        <v>3922</v>
      </c>
      <c r="W73" s="36">
        <v>1732</v>
      </c>
      <c r="X73" s="36">
        <v>1658</v>
      </c>
      <c r="Y73" s="36">
        <v>1588</v>
      </c>
      <c r="Z73" s="36">
        <v>9728</v>
      </c>
      <c r="AA73" s="36">
        <v>129239077</v>
      </c>
      <c r="AB73" s="36">
        <v>581</v>
      </c>
      <c r="AC73" s="36">
        <v>1561</v>
      </c>
      <c r="AD73" s="36">
        <v>338</v>
      </c>
      <c r="AE73" s="36">
        <v>492</v>
      </c>
      <c r="AF73" s="36">
        <v>917</v>
      </c>
      <c r="AG73" s="36">
        <v>180</v>
      </c>
      <c r="AH73" s="36">
        <v>234</v>
      </c>
      <c r="AI73" s="36">
        <v>5796</v>
      </c>
      <c r="AJ73" s="36">
        <v>2102</v>
      </c>
      <c r="AK73" s="36">
        <v>5</v>
      </c>
      <c r="AL73" s="36">
        <v>6288.0000000000009</v>
      </c>
      <c r="AM73" s="36">
        <v>1258</v>
      </c>
      <c r="AN73" s="36">
        <v>1059</v>
      </c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hidden="1" x14ac:dyDescent="0.25">
      <c r="A74" s="43" t="s">
        <v>50</v>
      </c>
      <c r="B74" s="44">
        <v>9</v>
      </c>
      <c r="C74" s="43" t="s">
        <v>84</v>
      </c>
      <c r="D74" s="43" t="s">
        <v>32</v>
      </c>
      <c r="E74" s="43" t="s">
        <v>89</v>
      </c>
      <c r="F74" s="43">
        <v>2014</v>
      </c>
      <c r="G74" s="36">
        <v>43160</v>
      </c>
      <c r="H74" s="36">
        <v>18370</v>
      </c>
      <c r="I74" s="36">
        <v>24790</v>
      </c>
      <c r="J74" s="36">
        <v>127866</v>
      </c>
      <c r="K74" s="36">
        <v>545</v>
      </c>
      <c r="L74" s="36">
        <v>93</v>
      </c>
      <c r="M74" s="36">
        <v>166</v>
      </c>
      <c r="N74" s="36">
        <v>32687</v>
      </c>
      <c r="O74" s="36">
        <v>410538.77783324482</v>
      </c>
      <c r="P74" s="36">
        <v>23150</v>
      </c>
      <c r="Q74" s="36">
        <v>42808</v>
      </c>
      <c r="R74" s="36">
        <v>9160</v>
      </c>
      <c r="S74" s="36">
        <v>17030</v>
      </c>
      <c r="T74" s="36"/>
      <c r="U74" s="36"/>
      <c r="V74" s="36">
        <v>18821</v>
      </c>
      <c r="W74" s="36">
        <v>7626</v>
      </c>
      <c r="X74" s="36">
        <v>7987</v>
      </c>
      <c r="Y74" s="36">
        <v>5123</v>
      </c>
      <c r="Z74" s="36"/>
      <c r="AA74" s="36"/>
      <c r="AB74" s="36">
        <v>2164</v>
      </c>
      <c r="AC74" s="36">
        <v>37564</v>
      </c>
      <c r="AD74" s="36">
        <v>864</v>
      </c>
      <c r="AE74" s="36">
        <v>1407</v>
      </c>
      <c r="AF74" s="36">
        <v>3225</v>
      </c>
      <c r="AG74" s="36">
        <v>908</v>
      </c>
      <c r="AH74" s="36">
        <v>1373</v>
      </c>
      <c r="AI74" s="36">
        <v>15276</v>
      </c>
      <c r="AJ74" s="36">
        <v>224</v>
      </c>
      <c r="AK74" s="36">
        <v>19</v>
      </c>
      <c r="AL74" s="36">
        <v>39344.389997474107</v>
      </c>
      <c r="AM74" s="36">
        <v>2099</v>
      </c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hidden="1" x14ac:dyDescent="0.25">
      <c r="A75" s="43" t="s">
        <v>49</v>
      </c>
      <c r="B75" s="44">
        <v>5</v>
      </c>
      <c r="C75" s="43" t="s">
        <v>60</v>
      </c>
      <c r="D75" s="43" t="s">
        <v>31</v>
      </c>
      <c r="E75" s="43" t="s">
        <v>89</v>
      </c>
      <c r="F75" s="43">
        <v>2014</v>
      </c>
      <c r="G75" s="36">
        <v>7918</v>
      </c>
      <c r="H75" s="36">
        <v>3366</v>
      </c>
      <c r="I75" s="36">
        <v>4552</v>
      </c>
      <c r="J75" s="36">
        <v>44561</v>
      </c>
      <c r="K75" s="36">
        <v>126</v>
      </c>
      <c r="L75" s="36">
        <v>24</v>
      </c>
      <c r="M75" s="36">
        <v>43</v>
      </c>
      <c r="N75" s="36">
        <v>7125</v>
      </c>
      <c r="O75" s="36">
        <v>163891.60959595948</v>
      </c>
      <c r="P75" s="36">
        <v>4255</v>
      </c>
      <c r="Q75" s="36">
        <v>7891</v>
      </c>
      <c r="R75" s="36">
        <v>1992</v>
      </c>
      <c r="S75" s="36">
        <v>1465</v>
      </c>
      <c r="T75" s="36"/>
      <c r="U75" s="36"/>
      <c r="V75" s="36">
        <v>3388</v>
      </c>
      <c r="W75" s="36">
        <v>1840</v>
      </c>
      <c r="X75" s="36">
        <v>1767</v>
      </c>
      <c r="Y75" s="36">
        <v>1743</v>
      </c>
      <c r="Z75" s="36">
        <v>7918</v>
      </c>
      <c r="AA75" s="36">
        <v>126959657</v>
      </c>
      <c r="AB75" s="36">
        <v>415</v>
      </c>
      <c r="AC75" s="36">
        <v>7279</v>
      </c>
      <c r="AD75" s="36">
        <v>360</v>
      </c>
      <c r="AE75" s="36">
        <v>516</v>
      </c>
      <c r="AF75" s="36">
        <v>846</v>
      </c>
      <c r="AG75" s="36">
        <v>144</v>
      </c>
      <c r="AH75" s="36">
        <v>234</v>
      </c>
      <c r="AI75" s="36">
        <v>5638</v>
      </c>
      <c r="AJ75" s="36">
        <v>757</v>
      </c>
      <c r="AK75" s="36">
        <v>8</v>
      </c>
      <c r="AL75" s="36">
        <v>7918</v>
      </c>
      <c r="AM75" s="36">
        <v>2</v>
      </c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76" spans="1:56" hidden="1" x14ac:dyDescent="0.25">
      <c r="A76" s="43" t="s">
        <v>49</v>
      </c>
      <c r="B76" s="44">
        <v>6</v>
      </c>
      <c r="C76" s="43" t="s">
        <v>61</v>
      </c>
      <c r="D76" s="43" t="s">
        <v>8</v>
      </c>
      <c r="E76" s="43" t="s">
        <v>89</v>
      </c>
      <c r="F76" s="43">
        <v>2014</v>
      </c>
      <c r="G76" s="36">
        <v>1906</v>
      </c>
      <c r="H76" s="36">
        <v>823</v>
      </c>
      <c r="I76" s="36">
        <v>1083</v>
      </c>
      <c r="J76" s="36">
        <v>8273</v>
      </c>
      <c r="K76" s="36">
        <v>41</v>
      </c>
      <c r="L76" s="36">
        <v>5</v>
      </c>
      <c r="M76" s="36">
        <v>10</v>
      </c>
      <c r="N76" s="36">
        <v>1181</v>
      </c>
      <c r="O76" s="36">
        <v>37641.209130106377</v>
      </c>
      <c r="P76" s="36">
        <v>942</v>
      </c>
      <c r="Q76" s="36">
        <v>1883</v>
      </c>
      <c r="R76" s="36">
        <v>398</v>
      </c>
      <c r="S76" s="36">
        <v>895</v>
      </c>
      <c r="T76" s="36"/>
      <c r="U76" s="36"/>
      <c r="V76" s="36">
        <v>806</v>
      </c>
      <c r="W76" s="36">
        <v>323</v>
      </c>
      <c r="X76" s="36">
        <v>311</v>
      </c>
      <c r="Y76" s="36">
        <v>290</v>
      </c>
      <c r="Z76" s="36">
        <v>1906</v>
      </c>
      <c r="AA76" s="36">
        <v>35267340</v>
      </c>
      <c r="AB76" s="36">
        <v>121</v>
      </c>
      <c r="AC76" s="36">
        <v>8046</v>
      </c>
      <c r="AD76" s="36">
        <v>151</v>
      </c>
      <c r="AE76" s="36">
        <v>224</v>
      </c>
      <c r="AF76" s="36">
        <v>313</v>
      </c>
      <c r="AG76" s="36">
        <v>88</v>
      </c>
      <c r="AH76" s="36">
        <v>81</v>
      </c>
      <c r="AI76" s="36">
        <v>1997</v>
      </c>
      <c r="AJ76" s="36">
        <v>9</v>
      </c>
      <c r="AK76" s="36">
        <v>3</v>
      </c>
      <c r="AL76" s="36">
        <v>1412.718721037998</v>
      </c>
      <c r="AM76" s="36">
        <v>51</v>
      </c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</row>
    <row r="77" spans="1:56" hidden="1" x14ac:dyDescent="0.25">
      <c r="A77" s="43" t="s">
        <v>49</v>
      </c>
      <c r="B77" s="44">
        <v>10</v>
      </c>
      <c r="C77" s="43" t="s">
        <v>62</v>
      </c>
      <c r="D77" s="43" t="s">
        <v>9</v>
      </c>
      <c r="E77" s="43" t="s">
        <v>89</v>
      </c>
      <c r="F77" s="43">
        <v>2014</v>
      </c>
      <c r="G77" s="36">
        <v>2483</v>
      </c>
      <c r="H77" s="36">
        <v>1025</v>
      </c>
      <c r="I77" s="36">
        <v>1458</v>
      </c>
      <c r="J77" s="36">
        <v>28693</v>
      </c>
      <c r="K77" s="36">
        <v>45</v>
      </c>
      <c r="L77" s="36">
        <v>13</v>
      </c>
      <c r="M77" s="36">
        <v>11</v>
      </c>
      <c r="N77" s="36">
        <v>2065</v>
      </c>
      <c r="O77" s="36">
        <v>104210.00031715367</v>
      </c>
      <c r="P77" s="36">
        <v>1156</v>
      </c>
      <c r="Q77" s="36">
        <v>2413</v>
      </c>
      <c r="R77" s="36">
        <v>463</v>
      </c>
      <c r="S77" s="36">
        <v>942</v>
      </c>
      <c r="T77" s="36"/>
      <c r="U77" s="36"/>
      <c r="V77" s="36">
        <v>1047</v>
      </c>
      <c r="W77" s="36">
        <v>423</v>
      </c>
      <c r="X77" s="36">
        <v>388</v>
      </c>
      <c r="Y77" s="36">
        <v>286</v>
      </c>
      <c r="Z77" s="36">
        <v>2483</v>
      </c>
      <c r="AA77" s="36">
        <v>34487021</v>
      </c>
      <c r="AB77" s="36">
        <v>164</v>
      </c>
      <c r="AC77" s="36">
        <v>2126</v>
      </c>
      <c r="AD77" s="36">
        <v>166</v>
      </c>
      <c r="AE77" s="36">
        <v>246</v>
      </c>
      <c r="AF77" s="36">
        <v>248</v>
      </c>
      <c r="AG77" s="36">
        <v>98</v>
      </c>
      <c r="AH77" s="36">
        <v>78</v>
      </c>
      <c r="AI77" s="36">
        <v>2625</v>
      </c>
      <c r="AJ77" s="36">
        <v>72</v>
      </c>
      <c r="AK77" s="36">
        <v>1</v>
      </c>
      <c r="AL77" s="36">
        <v>809</v>
      </c>
      <c r="AM77" s="36">
        <v>606</v>
      </c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</row>
    <row r="78" spans="1:56" hidden="1" x14ac:dyDescent="0.25">
      <c r="A78" s="43" t="s">
        <v>49</v>
      </c>
      <c r="B78" s="44">
        <v>11</v>
      </c>
      <c r="C78" s="43" t="s">
        <v>63</v>
      </c>
      <c r="D78" s="43" t="s">
        <v>10</v>
      </c>
      <c r="E78" s="43" t="s">
        <v>89</v>
      </c>
      <c r="F78" s="43">
        <v>2014</v>
      </c>
      <c r="G78" s="36">
        <v>17733</v>
      </c>
      <c r="H78" s="36">
        <v>6355</v>
      </c>
      <c r="I78" s="36">
        <v>11378</v>
      </c>
      <c r="J78" s="36">
        <v>94122</v>
      </c>
      <c r="K78" s="36">
        <v>238</v>
      </c>
      <c r="L78" s="36">
        <v>56</v>
      </c>
      <c r="M78" s="36">
        <v>70</v>
      </c>
      <c r="N78" s="36">
        <v>14983</v>
      </c>
      <c r="O78" s="36">
        <v>349671.87180136447</v>
      </c>
      <c r="P78" s="36">
        <v>10284</v>
      </c>
      <c r="Q78" s="36">
        <v>18280</v>
      </c>
      <c r="R78" s="36">
        <v>4173</v>
      </c>
      <c r="S78" s="36">
        <v>3914</v>
      </c>
      <c r="T78" s="36"/>
      <c r="U78" s="36"/>
      <c r="V78" s="36">
        <v>6290</v>
      </c>
      <c r="W78" s="36">
        <v>3874</v>
      </c>
      <c r="X78" s="36">
        <v>3989</v>
      </c>
      <c r="Y78" s="36">
        <v>3898</v>
      </c>
      <c r="Z78" s="36">
        <v>17733</v>
      </c>
      <c r="AA78" s="36">
        <v>206713084</v>
      </c>
      <c r="AB78" s="36">
        <v>928</v>
      </c>
      <c r="AC78" s="36">
        <v>16708</v>
      </c>
      <c r="AD78" s="36">
        <v>700</v>
      </c>
      <c r="AE78" s="36">
        <v>1008</v>
      </c>
      <c r="AF78" s="36">
        <v>1959</v>
      </c>
      <c r="AG78" s="36">
        <v>491</v>
      </c>
      <c r="AH78" s="36">
        <v>445</v>
      </c>
      <c r="AI78" s="36">
        <v>22282</v>
      </c>
      <c r="AJ78" s="36">
        <v>843</v>
      </c>
      <c r="AK78" s="36">
        <v>14</v>
      </c>
      <c r="AL78" s="36">
        <v>16480</v>
      </c>
      <c r="AM78" s="36">
        <v>1763</v>
      </c>
      <c r="AN78" s="36">
        <v>10952</v>
      </c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6" hidden="1" x14ac:dyDescent="0.25">
      <c r="A79" s="43" t="s">
        <v>49</v>
      </c>
      <c r="B79" s="44">
        <v>12</v>
      </c>
      <c r="C79" s="43" t="s">
        <v>64</v>
      </c>
      <c r="D79" s="43" t="s">
        <v>11</v>
      </c>
      <c r="E79" s="43" t="s">
        <v>89</v>
      </c>
      <c r="F79" s="43">
        <v>2014</v>
      </c>
      <c r="G79" s="36">
        <v>6743</v>
      </c>
      <c r="H79" s="36">
        <v>2541</v>
      </c>
      <c r="I79" s="36">
        <v>4202</v>
      </c>
      <c r="J79" s="36">
        <v>57668</v>
      </c>
      <c r="K79" s="36">
        <v>123</v>
      </c>
      <c r="L79" s="36">
        <v>24</v>
      </c>
      <c r="M79" s="36">
        <v>42</v>
      </c>
      <c r="N79" s="36">
        <v>5422</v>
      </c>
      <c r="O79" s="36">
        <v>228424.40717370744</v>
      </c>
      <c r="P79" s="36">
        <v>3492</v>
      </c>
      <c r="Q79" s="36">
        <v>6996</v>
      </c>
      <c r="R79" s="36">
        <v>1579</v>
      </c>
      <c r="S79" s="36">
        <v>2341</v>
      </c>
      <c r="T79" s="36"/>
      <c r="U79" s="36"/>
      <c r="V79" s="36">
        <v>2982</v>
      </c>
      <c r="W79" s="36">
        <v>1482</v>
      </c>
      <c r="X79" s="36">
        <v>1531</v>
      </c>
      <c r="Y79" s="36">
        <v>1151</v>
      </c>
      <c r="Z79" s="36">
        <v>6743</v>
      </c>
      <c r="AA79" s="36">
        <v>112866728</v>
      </c>
      <c r="AB79" s="36">
        <v>318</v>
      </c>
      <c r="AC79" s="36">
        <v>6360</v>
      </c>
      <c r="AD79" s="36">
        <v>397</v>
      </c>
      <c r="AE79" s="36">
        <v>627</v>
      </c>
      <c r="AF79" s="36">
        <v>554</v>
      </c>
      <c r="AG79" s="36">
        <v>224</v>
      </c>
      <c r="AH79" s="36">
        <v>232</v>
      </c>
      <c r="AI79" s="36">
        <v>2933</v>
      </c>
      <c r="AJ79" s="36">
        <v>461</v>
      </c>
      <c r="AK79" s="36" t="s">
        <v>2</v>
      </c>
      <c r="AL79" s="36">
        <v>0</v>
      </c>
      <c r="AM79" s="36">
        <v>1800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</row>
    <row r="80" spans="1:56" hidden="1" x14ac:dyDescent="0.25">
      <c r="A80" s="43" t="s">
        <v>49</v>
      </c>
      <c r="B80" s="44">
        <v>13</v>
      </c>
      <c r="C80" s="43" t="s">
        <v>65</v>
      </c>
      <c r="D80" s="43" t="s">
        <v>12</v>
      </c>
      <c r="E80" s="43" t="s">
        <v>89</v>
      </c>
      <c r="F80" s="43">
        <v>2014</v>
      </c>
      <c r="G80" s="36">
        <v>3498</v>
      </c>
      <c r="H80" s="36">
        <v>1417</v>
      </c>
      <c r="I80" s="36">
        <v>2081</v>
      </c>
      <c r="J80" s="36">
        <v>49083</v>
      </c>
      <c r="K80" s="36">
        <v>65</v>
      </c>
      <c r="L80" s="36">
        <v>23</v>
      </c>
      <c r="M80" s="36">
        <v>28</v>
      </c>
      <c r="N80" s="36">
        <v>2705</v>
      </c>
      <c r="O80" s="36">
        <v>160118.07123933081</v>
      </c>
      <c r="P80" s="36">
        <v>1777</v>
      </c>
      <c r="Q80" s="36">
        <v>3924</v>
      </c>
      <c r="R80" s="36">
        <v>886</v>
      </c>
      <c r="S80" s="36">
        <v>900</v>
      </c>
      <c r="T80" s="36"/>
      <c r="U80" s="36"/>
      <c r="V80" s="36">
        <v>1656</v>
      </c>
      <c r="W80" s="36">
        <v>754</v>
      </c>
      <c r="X80" s="36">
        <v>696</v>
      </c>
      <c r="Y80" s="36">
        <v>696</v>
      </c>
      <c r="Z80" s="36">
        <v>3498</v>
      </c>
      <c r="AA80" s="36">
        <v>54215457</v>
      </c>
      <c r="AB80" s="36">
        <v>210</v>
      </c>
      <c r="AC80" s="36">
        <v>3323</v>
      </c>
      <c r="AD80" s="36">
        <v>246</v>
      </c>
      <c r="AE80" s="36">
        <v>357</v>
      </c>
      <c r="AF80" s="36">
        <v>415</v>
      </c>
      <c r="AG80" s="36">
        <v>101</v>
      </c>
      <c r="AH80" s="36">
        <v>168</v>
      </c>
      <c r="AI80" s="36">
        <v>2003</v>
      </c>
      <c r="AJ80" s="36">
        <v>64</v>
      </c>
      <c r="AK80" s="36" t="s">
        <v>2</v>
      </c>
      <c r="AL80" s="36">
        <v>0</v>
      </c>
      <c r="AM80" s="36">
        <v>147</v>
      </c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</row>
    <row r="81" spans="1:56" hidden="1" x14ac:dyDescent="0.25">
      <c r="A81" s="43" t="s">
        <v>49</v>
      </c>
      <c r="B81" s="44">
        <v>14</v>
      </c>
      <c r="C81" s="43" t="s">
        <v>66</v>
      </c>
      <c r="D81" s="43" t="s">
        <v>13</v>
      </c>
      <c r="E81" s="43" t="s">
        <v>89</v>
      </c>
      <c r="F81" s="43">
        <v>2014</v>
      </c>
      <c r="G81" s="36">
        <v>14848</v>
      </c>
      <c r="H81" s="36">
        <v>5847</v>
      </c>
      <c r="I81" s="36">
        <v>9001</v>
      </c>
      <c r="J81" s="36">
        <v>112081</v>
      </c>
      <c r="K81" s="36">
        <v>255</v>
      </c>
      <c r="L81" s="36">
        <v>32</v>
      </c>
      <c r="M81" s="36">
        <v>78</v>
      </c>
      <c r="N81" s="36">
        <v>11798</v>
      </c>
      <c r="O81" s="36">
        <v>435120.49567736045</v>
      </c>
      <c r="P81" s="36">
        <v>6963</v>
      </c>
      <c r="Q81" s="36">
        <v>14705</v>
      </c>
      <c r="R81" s="36">
        <v>3470</v>
      </c>
      <c r="S81" s="36">
        <v>4069</v>
      </c>
      <c r="T81" s="36"/>
      <c r="U81" s="36"/>
      <c r="V81" s="36">
        <v>5964</v>
      </c>
      <c r="W81" s="36">
        <v>3107</v>
      </c>
      <c r="X81" s="36">
        <v>3118</v>
      </c>
      <c r="Y81" s="36">
        <v>2991</v>
      </c>
      <c r="Z81" s="36">
        <v>14848</v>
      </c>
      <c r="AA81" s="36">
        <v>219637773</v>
      </c>
      <c r="AB81" s="36">
        <v>905</v>
      </c>
      <c r="AC81" s="36">
        <v>13481</v>
      </c>
      <c r="AD81" s="36">
        <v>549</v>
      </c>
      <c r="AE81" s="36">
        <v>1027</v>
      </c>
      <c r="AF81" s="36">
        <v>2137</v>
      </c>
      <c r="AG81" s="36">
        <v>430</v>
      </c>
      <c r="AH81" s="36">
        <v>503</v>
      </c>
      <c r="AI81" s="36">
        <v>13630</v>
      </c>
      <c r="AJ81" s="36">
        <v>1180</v>
      </c>
      <c r="AK81" s="36">
        <v>15</v>
      </c>
      <c r="AL81" s="36">
        <v>13969</v>
      </c>
      <c r="AM81" s="36">
        <v>396</v>
      </c>
      <c r="AN81" s="36">
        <v>491</v>
      </c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</row>
    <row r="82" spans="1:56" hidden="1" x14ac:dyDescent="0.25">
      <c r="A82" s="43" t="s">
        <v>49</v>
      </c>
      <c r="B82" s="44">
        <v>15</v>
      </c>
      <c r="C82" s="43" t="s">
        <v>67</v>
      </c>
      <c r="D82" s="43" t="s">
        <v>14</v>
      </c>
      <c r="E82" s="43" t="s">
        <v>89</v>
      </c>
      <c r="F82" s="43">
        <v>2014</v>
      </c>
      <c r="G82" s="36">
        <v>46706</v>
      </c>
      <c r="H82" s="36">
        <v>19347</v>
      </c>
      <c r="I82" s="36">
        <v>27359</v>
      </c>
      <c r="J82" s="36">
        <v>251537</v>
      </c>
      <c r="K82" s="36">
        <v>741</v>
      </c>
      <c r="L82" s="36">
        <v>142</v>
      </c>
      <c r="M82" s="36">
        <v>214</v>
      </c>
      <c r="N82" s="36">
        <v>36737</v>
      </c>
      <c r="O82" s="36">
        <v>911287.59623206698</v>
      </c>
      <c r="P82" s="36">
        <v>19641</v>
      </c>
      <c r="Q82" s="36">
        <v>47473</v>
      </c>
      <c r="R82" s="36">
        <v>10457</v>
      </c>
      <c r="S82" s="36">
        <v>11690</v>
      </c>
      <c r="T82" s="36"/>
      <c r="U82" s="36"/>
      <c r="V82" s="36">
        <v>20185</v>
      </c>
      <c r="W82" s="36">
        <v>8724</v>
      </c>
      <c r="X82" s="36">
        <v>9041</v>
      </c>
      <c r="Y82" s="36">
        <v>7895</v>
      </c>
      <c r="Z82" s="36">
        <v>46706</v>
      </c>
      <c r="AA82" s="36">
        <v>639065378</v>
      </c>
      <c r="AB82" s="36">
        <v>2378</v>
      </c>
      <c r="AC82" s="36">
        <v>41320</v>
      </c>
      <c r="AD82" s="36">
        <v>1287</v>
      </c>
      <c r="AE82" s="36">
        <v>2444</v>
      </c>
      <c r="AF82" s="36">
        <v>3926</v>
      </c>
      <c r="AG82" s="36">
        <v>1184</v>
      </c>
      <c r="AH82" s="36">
        <v>1300</v>
      </c>
      <c r="AI82" s="36">
        <v>25771</v>
      </c>
      <c r="AJ82" s="36">
        <v>7841</v>
      </c>
      <c r="AK82" s="36">
        <v>39</v>
      </c>
      <c r="AL82" s="36">
        <v>46706</v>
      </c>
      <c r="AM82" s="36">
        <v>7754</v>
      </c>
      <c r="AN82" s="36">
        <v>671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</row>
    <row r="83" spans="1:56" hidden="1" x14ac:dyDescent="0.25">
      <c r="A83" s="43" t="s">
        <v>49</v>
      </c>
      <c r="B83" s="44">
        <v>16</v>
      </c>
      <c r="C83" s="43" t="s">
        <v>68</v>
      </c>
      <c r="D83" s="43" t="s">
        <v>30</v>
      </c>
      <c r="E83" s="43" t="s">
        <v>89</v>
      </c>
      <c r="F83" s="43">
        <v>2014</v>
      </c>
      <c r="G83" s="36">
        <v>11679</v>
      </c>
      <c r="H83" s="36">
        <v>4533</v>
      </c>
      <c r="I83" s="36">
        <v>7146</v>
      </c>
      <c r="J83" s="36">
        <v>62780</v>
      </c>
      <c r="K83" s="36">
        <v>226</v>
      </c>
      <c r="L83" s="36">
        <v>41</v>
      </c>
      <c r="M83" s="36">
        <v>63</v>
      </c>
      <c r="N83" s="36">
        <v>8768</v>
      </c>
      <c r="O83" s="36">
        <v>265729.05246062623</v>
      </c>
      <c r="P83" s="36">
        <v>5716</v>
      </c>
      <c r="Q83" s="36">
        <v>11807</v>
      </c>
      <c r="R83" s="36">
        <v>2858</v>
      </c>
      <c r="S83" s="36">
        <v>1845</v>
      </c>
      <c r="T83" s="36"/>
      <c r="U83" s="36"/>
      <c r="V83" s="36">
        <v>5092</v>
      </c>
      <c r="W83" s="36">
        <v>2342</v>
      </c>
      <c r="X83" s="36">
        <v>2525</v>
      </c>
      <c r="Y83" s="36">
        <v>2264</v>
      </c>
      <c r="Z83" s="36">
        <v>11679</v>
      </c>
      <c r="AA83" s="36">
        <v>174887424</v>
      </c>
      <c r="AB83" s="36">
        <v>474</v>
      </c>
      <c r="AC83" s="36">
        <v>10530</v>
      </c>
      <c r="AD83" s="36">
        <v>550</v>
      </c>
      <c r="AE83" s="36">
        <v>710</v>
      </c>
      <c r="AF83" s="36">
        <v>1093</v>
      </c>
      <c r="AG83" s="36">
        <v>282</v>
      </c>
      <c r="AH83" s="36">
        <v>355</v>
      </c>
      <c r="AI83" s="36">
        <v>4341</v>
      </c>
      <c r="AJ83" s="36">
        <v>136</v>
      </c>
      <c r="AK83" s="36" t="s">
        <v>2</v>
      </c>
      <c r="AL83" s="36">
        <v>0</v>
      </c>
      <c r="AM83" s="36">
        <v>49</v>
      </c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</row>
    <row r="84" spans="1:56" hidden="1" x14ac:dyDescent="0.25">
      <c r="A84" s="43" t="s">
        <v>49</v>
      </c>
      <c r="B84" s="44">
        <v>17</v>
      </c>
      <c r="C84" s="43" t="s">
        <v>69</v>
      </c>
      <c r="D84" s="43" t="s">
        <v>15</v>
      </c>
      <c r="E84" s="43" t="s">
        <v>89</v>
      </c>
      <c r="F84" s="43">
        <v>2014</v>
      </c>
      <c r="G84" s="36">
        <v>4787</v>
      </c>
      <c r="H84" s="36">
        <v>2047</v>
      </c>
      <c r="I84" s="36">
        <v>2740</v>
      </c>
      <c r="J84" s="36">
        <v>29951</v>
      </c>
      <c r="K84" s="36">
        <v>68</v>
      </c>
      <c r="L84" s="36">
        <v>19</v>
      </c>
      <c r="M84" s="36">
        <v>13</v>
      </c>
      <c r="N84" s="36">
        <v>4104</v>
      </c>
      <c r="O84" s="36">
        <v>103220.9696732038</v>
      </c>
      <c r="P84" s="36">
        <v>2379</v>
      </c>
      <c r="Q84" s="36">
        <v>4693</v>
      </c>
      <c r="R84" s="36">
        <v>1230</v>
      </c>
      <c r="S84" s="36">
        <v>1016</v>
      </c>
      <c r="T84" s="36"/>
      <c r="U84" s="36"/>
      <c r="V84" s="36">
        <v>2046</v>
      </c>
      <c r="W84" s="36">
        <v>1119</v>
      </c>
      <c r="X84" s="36">
        <v>1292</v>
      </c>
      <c r="Y84" s="36">
        <v>1193</v>
      </c>
      <c r="Z84" s="36">
        <v>4787</v>
      </c>
      <c r="AA84" s="36">
        <v>59590257</v>
      </c>
      <c r="AB84" s="36">
        <v>254</v>
      </c>
      <c r="AC84" s="36">
        <v>4287</v>
      </c>
      <c r="AD84" s="36">
        <v>69</v>
      </c>
      <c r="AE84" s="36">
        <v>103</v>
      </c>
      <c r="AF84" s="36">
        <v>592</v>
      </c>
      <c r="AG84" s="36">
        <v>123</v>
      </c>
      <c r="AH84" s="36">
        <v>136</v>
      </c>
      <c r="AI84" s="36">
        <v>2026</v>
      </c>
      <c r="AJ84" s="36">
        <v>53</v>
      </c>
      <c r="AK84" s="36">
        <v>5</v>
      </c>
      <c r="AL84" s="36">
        <v>4787</v>
      </c>
      <c r="AM84" s="36">
        <v>2100</v>
      </c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6" hidden="1" x14ac:dyDescent="0.25">
      <c r="A85" s="43" t="s">
        <v>49</v>
      </c>
      <c r="B85" s="44">
        <v>18</v>
      </c>
      <c r="C85" s="43" t="s">
        <v>70</v>
      </c>
      <c r="D85" s="43" t="s">
        <v>16</v>
      </c>
      <c r="E85" s="43" t="s">
        <v>89</v>
      </c>
      <c r="F85" s="43">
        <v>2014</v>
      </c>
      <c r="G85" s="36">
        <v>2901</v>
      </c>
      <c r="H85" s="36">
        <v>1099</v>
      </c>
      <c r="I85" s="36">
        <v>1802</v>
      </c>
      <c r="J85" s="36">
        <v>18738</v>
      </c>
      <c r="K85" s="36">
        <v>54</v>
      </c>
      <c r="L85" s="36">
        <v>8</v>
      </c>
      <c r="M85" s="36">
        <v>9</v>
      </c>
      <c r="N85" s="36">
        <v>2675</v>
      </c>
      <c r="O85" s="36">
        <v>65615.376922982876</v>
      </c>
      <c r="P85" s="36">
        <v>1361</v>
      </c>
      <c r="Q85" s="36">
        <v>3037</v>
      </c>
      <c r="R85" s="36">
        <v>655</v>
      </c>
      <c r="S85" s="36">
        <v>936</v>
      </c>
      <c r="T85" s="36"/>
      <c r="U85" s="36"/>
      <c r="V85" s="36">
        <v>1201</v>
      </c>
      <c r="W85" s="36">
        <v>587</v>
      </c>
      <c r="X85" s="36">
        <v>653</v>
      </c>
      <c r="Y85" s="36">
        <v>646</v>
      </c>
      <c r="Z85" s="36">
        <v>2901</v>
      </c>
      <c r="AA85" s="36">
        <v>44532298</v>
      </c>
      <c r="AB85" s="36">
        <v>124</v>
      </c>
      <c r="AC85" s="36">
        <v>2727</v>
      </c>
      <c r="AD85" s="36">
        <v>137</v>
      </c>
      <c r="AE85" s="36">
        <v>312</v>
      </c>
      <c r="AF85" s="36">
        <v>399</v>
      </c>
      <c r="AG85" s="36">
        <v>93</v>
      </c>
      <c r="AH85" s="36">
        <v>131</v>
      </c>
      <c r="AI85" s="36">
        <v>978</v>
      </c>
      <c r="AJ85" s="36">
        <v>48</v>
      </c>
      <c r="AK85" s="36" t="s">
        <v>2</v>
      </c>
      <c r="AL85" s="36">
        <v>0</v>
      </c>
      <c r="AM85" s="36">
        <v>0</v>
      </c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</row>
    <row r="86" spans="1:56" hidden="1" x14ac:dyDescent="0.25">
      <c r="A86" s="43" t="s">
        <v>49</v>
      </c>
      <c r="B86" s="44">
        <v>19</v>
      </c>
      <c r="C86" s="43" t="s">
        <v>71</v>
      </c>
      <c r="D86" s="43" t="s">
        <v>17</v>
      </c>
      <c r="E86" s="43" t="s">
        <v>89</v>
      </c>
      <c r="F86" s="43">
        <v>2014</v>
      </c>
      <c r="G86" s="36">
        <v>17771</v>
      </c>
      <c r="H86" s="36">
        <v>7442</v>
      </c>
      <c r="I86" s="36">
        <v>10329</v>
      </c>
      <c r="J86" s="36">
        <v>74027</v>
      </c>
      <c r="K86" s="36">
        <v>250</v>
      </c>
      <c r="L86" s="36">
        <v>52</v>
      </c>
      <c r="M86" s="36">
        <v>80</v>
      </c>
      <c r="N86" s="36">
        <v>14825</v>
      </c>
      <c r="O86" s="36">
        <v>260623.0422343692</v>
      </c>
      <c r="P86" s="36">
        <v>9172</v>
      </c>
      <c r="Q86" s="36">
        <v>17191</v>
      </c>
      <c r="R86" s="36">
        <v>3888</v>
      </c>
      <c r="S86" s="36">
        <v>5488</v>
      </c>
      <c r="T86" s="36"/>
      <c r="U86" s="36"/>
      <c r="V86" s="36">
        <v>6947</v>
      </c>
      <c r="W86" s="36">
        <v>3522</v>
      </c>
      <c r="X86" s="36">
        <v>3199</v>
      </c>
      <c r="Y86" s="36">
        <v>3134</v>
      </c>
      <c r="Z86" s="36">
        <v>17771</v>
      </c>
      <c r="AA86" s="36">
        <v>184722995</v>
      </c>
      <c r="AB86" s="36">
        <v>904</v>
      </c>
      <c r="AC86" s="36">
        <v>15402</v>
      </c>
      <c r="AD86" s="36">
        <v>497</v>
      </c>
      <c r="AE86" s="36">
        <v>957</v>
      </c>
      <c r="AF86" s="36">
        <v>1734</v>
      </c>
      <c r="AG86" s="36">
        <v>337</v>
      </c>
      <c r="AH86" s="36">
        <v>355</v>
      </c>
      <c r="AI86" s="36">
        <v>42589</v>
      </c>
      <c r="AJ86" s="36">
        <v>1144</v>
      </c>
      <c r="AK86" s="36">
        <v>4</v>
      </c>
      <c r="AL86" s="36">
        <v>4341</v>
      </c>
      <c r="AM86" s="36">
        <v>39610</v>
      </c>
      <c r="AN86" s="36">
        <v>588</v>
      </c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</row>
    <row r="87" spans="1:56" hidden="1" x14ac:dyDescent="0.25">
      <c r="A87" s="43" t="s">
        <v>50</v>
      </c>
      <c r="B87" s="44">
        <v>20</v>
      </c>
      <c r="C87" s="43" t="s">
        <v>85</v>
      </c>
      <c r="D87" s="43" t="s">
        <v>28</v>
      </c>
      <c r="E87" s="43" t="s">
        <v>89</v>
      </c>
      <c r="F87" s="43">
        <v>2014</v>
      </c>
      <c r="G87" s="36">
        <v>6254</v>
      </c>
      <c r="H87" s="36">
        <v>2259</v>
      </c>
      <c r="I87" s="36">
        <v>3995</v>
      </c>
      <c r="J87" s="36">
        <v>64296</v>
      </c>
      <c r="K87" s="36">
        <v>107</v>
      </c>
      <c r="L87" s="36">
        <v>12</v>
      </c>
      <c r="M87" s="36">
        <v>33</v>
      </c>
      <c r="N87" s="36">
        <v>4947</v>
      </c>
      <c r="O87" s="36">
        <v>242911.31360360072</v>
      </c>
      <c r="P87" s="36">
        <v>2817</v>
      </c>
      <c r="Q87" s="36">
        <v>6603</v>
      </c>
      <c r="R87" s="36">
        <v>1551</v>
      </c>
      <c r="S87" s="36">
        <v>1759</v>
      </c>
      <c r="T87" s="36"/>
      <c r="U87" s="36"/>
      <c r="V87" s="36">
        <v>2793</v>
      </c>
      <c r="W87" s="36">
        <v>1369</v>
      </c>
      <c r="X87" s="36">
        <v>1194</v>
      </c>
      <c r="Y87" s="36">
        <v>931</v>
      </c>
      <c r="Z87" s="36"/>
      <c r="AA87" s="36"/>
      <c r="AB87" s="36">
        <v>380</v>
      </c>
      <c r="AC87" s="36">
        <v>6064</v>
      </c>
      <c r="AD87" s="36">
        <v>472</v>
      </c>
      <c r="AE87" s="36">
        <v>895</v>
      </c>
      <c r="AF87" s="36">
        <v>530</v>
      </c>
      <c r="AG87" s="36">
        <v>139</v>
      </c>
      <c r="AH87" s="36">
        <v>196</v>
      </c>
      <c r="AI87" s="36">
        <v>2196</v>
      </c>
      <c r="AJ87" s="36">
        <v>119</v>
      </c>
      <c r="AK87" s="36">
        <v>1</v>
      </c>
      <c r="AL87" s="36">
        <v>892</v>
      </c>
      <c r="AM87" s="36">
        <v>737</v>
      </c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</row>
    <row r="88" spans="1:56" hidden="1" x14ac:dyDescent="0.25">
      <c r="A88" s="43" t="s">
        <v>49</v>
      </c>
      <c r="B88" s="44">
        <v>21</v>
      </c>
      <c r="C88" s="43" t="s">
        <v>72</v>
      </c>
      <c r="D88" s="43" t="s">
        <v>18</v>
      </c>
      <c r="E88" s="43" t="s">
        <v>89</v>
      </c>
      <c r="F88" s="43">
        <v>2014</v>
      </c>
      <c r="G88" s="36">
        <v>7170</v>
      </c>
      <c r="H88" s="36">
        <v>2818</v>
      </c>
      <c r="I88" s="36">
        <v>4352</v>
      </c>
      <c r="J88" s="36">
        <v>100208</v>
      </c>
      <c r="K88" s="36">
        <v>144</v>
      </c>
      <c r="L88" s="36">
        <v>36</v>
      </c>
      <c r="M88" s="36">
        <v>56</v>
      </c>
      <c r="N88" s="36">
        <v>6088</v>
      </c>
      <c r="O88" s="36">
        <v>366757.92912014597</v>
      </c>
      <c r="P88" s="36">
        <v>3961</v>
      </c>
      <c r="Q88" s="36">
        <v>7277</v>
      </c>
      <c r="R88" s="36">
        <v>1957</v>
      </c>
      <c r="S88" s="36">
        <v>917</v>
      </c>
      <c r="T88" s="36"/>
      <c r="U88" s="36"/>
      <c r="V88" s="36">
        <v>3180</v>
      </c>
      <c r="W88" s="36">
        <v>1712</v>
      </c>
      <c r="X88" s="36">
        <v>1760</v>
      </c>
      <c r="Y88" s="36">
        <v>1693</v>
      </c>
      <c r="Z88" s="36">
        <v>7170</v>
      </c>
      <c r="AA88" s="36">
        <v>127235974</v>
      </c>
      <c r="AB88" s="36">
        <v>403</v>
      </c>
      <c r="AC88" s="36">
        <v>6756</v>
      </c>
      <c r="AD88" s="36">
        <v>437</v>
      </c>
      <c r="AE88" s="36">
        <v>532</v>
      </c>
      <c r="AF88" s="36">
        <v>898</v>
      </c>
      <c r="AG88" s="36">
        <v>235</v>
      </c>
      <c r="AH88" s="36">
        <v>262</v>
      </c>
      <c r="AI88" s="36">
        <v>4857</v>
      </c>
      <c r="AJ88" s="36">
        <v>214</v>
      </c>
      <c r="AK88" s="36">
        <v>10</v>
      </c>
      <c r="AL88" s="36">
        <v>7170</v>
      </c>
      <c r="AM88" s="36">
        <v>5060</v>
      </c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</row>
    <row r="89" spans="1:56" hidden="1" x14ac:dyDescent="0.25">
      <c r="A89" s="43" t="s">
        <v>49</v>
      </c>
      <c r="B89" s="44">
        <v>22</v>
      </c>
      <c r="C89" s="43" t="s">
        <v>73</v>
      </c>
      <c r="D89" s="43" t="s">
        <v>29</v>
      </c>
      <c r="E89" s="43" t="s">
        <v>89</v>
      </c>
      <c r="F89" s="43">
        <v>2014</v>
      </c>
      <c r="G89" s="36">
        <v>3442</v>
      </c>
      <c r="H89" s="36">
        <v>1476</v>
      </c>
      <c r="I89" s="36">
        <v>1966</v>
      </c>
      <c r="J89" s="36">
        <v>28960</v>
      </c>
      <c r="K89" s="36">
        <v>55</v>
      </c>
      <c r="L89" s="36">
        <v>13</v>
      </c>
      <c r="M89" s="36">
        <v>29</v>
      </c>
      <c r="N89" s="36">
        <v>2953</v>
      </c>
      <c r="O89" s="36">
        <v>113567.57967282939</v>
      </c>
      <c r="P89" s="36">
        <v>2233</v>
      </c>
      <c r="Q89" s="36">
        <v>3224</v>
      </c>
      <c r="R89" s="36">
        <v>763</v>
      </c>
      <c r="S89" s="36">
        <v>975</v>
      </c>
      <c r="T89" s="36"/>
      <c r="U89" s="36"/>
      <c r="V89" s="36">
        <v>1218</v>
      </c>
      <c r="W89" s="36">
        <v>716</v>
      </c>
      <c r="X89" s="36">
        <v>703</v>
      </c>
      <c r="Y89" s="36">
        <v>615</v>
      </c>
      <c r="Z89" s="36">
        <v>3442</v>
      </c>
      <c r="AA89" s="36">
        <v>39171273</v>
      </c>
      <c r="AB89" s="36">
        <v>254</v>
      </c>
      <c r="AC89" s="36">
        <v>3006</v>
      </c>
      <c r="AD89" s="36">
        <v>204</v>
      </c>
      <c r="AE89" s="36">
        <v>304</v>
      </c>
      <c r="AF89" s="36">
        <v>357</v>
      </c>
      <c r="AG89" s="36">
        <v>78</v>
      </c>
      <c r="AH89" s="36">
        <v>107</v>
      </c>
      <c r="AI89" s="36">
        <v>1933</v>
      </c>
      <c r="AJ89" s="36">
        <v>6</v>
      </c>
      <c r="AK89" s="36">
        <v>2</v>
      </c>
      <c r="AL89" s="36">
        <v>1474</v>
      </c>
      <c r="AM89" s="36">
        <v>0</v>
      </c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</row>
    <row r="90" spans="1:56" hidden="1" x14ac:dyDescent="0.25">
      <c r="A90" s="43" t="s">
        <v>49</v>
      </c>
      <c r="B90" s="44">
        <v>23</v>
      </c>
      <c r="C90" s="43" t="s">
        <v>74</v>
      </c>
      <c r="D90" s="43" t="s">
        <v>19</v>
      </c>
      <c r="E90" s="43" t="s">
        <v>89</v>
      </c>
      <c r="F90" s="43">
        <v>2014</v>
      </c>
      <c r="G90" s="36">
        <v>8119</v>
      </c>
      <c r="H90" s="36">
        <v>2777</v>
      </c>
      <c r="I90" s="36">
        <v>5342</v>
      </c>
      <c r="J90" s="36">
        <v>19254</v>
      </c>
      <c r="K90" s="36">
        <v>104</v>
      </c>
      <c r="L90" s="36">
        <v>18</v>
      </c>
      <c r="M90" s="36">
        <v>29</v>
      </c>
      <c r="N90" s="36">
        <v>6515</v>
      </c>
      <c r="O90" s="36">
        <v>81354.429813431314</v>
      </c>
      <c r="P90" s="36">
        <v>3265</v>
      </c>
      <c r="Q90" s="36">
        <v>8835</v>
      </c>
      <c r="R90" s="36">
        <v>2037</v>
      </c>
      <c r="S90" s="36">
        <v>1822</v>
      </c>
      <c r="T90" s="36"/>
      <c r="U90" s="36"/>
      <c r="V90" s="36">
        <v>3176</v>
      </c>
      <c r="W90" s="36">
        <v>1843</v>
      </c>
      <c r="X90" s="36">
        <v>1858</v>
      </c>
      <c r="Y90" s="36">
        <v>1793</v>
      </c>
      <c r="Z90" s="36">
        <v>8119</v>
      </c>
      <c r="AA90" s="36">
        <v>84993349</v>
      </c>
      <c r="AB90" s="36">
        <v>413</v>
      </c>
      <c r="AC90" s="36">
        <v>8108</v>
      </c>
      <c r="AD90" s="36">
        <v>194</v>
      </c>
      <c r="AE90" s="36">
        <v>456</v>
      </c>
      <c r="AF90" s="36">
        <v>751</v>
      </c>
      <c r="AG90" s="36">
        <v>238</v>
      </c>
      <c r="AH90" s="36">
        <v>259</v>
      </c>
      <c r="AI90" s="36">
        <v>4110</v>
      </c>
      <c r="AJ90" s="36">
        <v>231</v>
      </c>
      <c r="AK90" s="36">
        <v>4</v>
      </c>
      <c r="AL90" s="36">
        <v>4964.9999999999991</v>
      </c>
      <c r="AM90" s="36">
        <v>1255</v>
      </c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6" hidden="1" x14ac:dyDescent="0.25">
      <c r="A91" s="43" t="s">
        <v>49</v>
      </c>
      <c r="B91" s="44">
        <v>24</v>
      </c>
      <c r="C91" s="43" t="s">
        <v>75</v>
      </c>
      <c r="D91" s="43" t="s">
        <v>20</v>
      </c>
      <c r="E91" s="43" t="s">
        <v>89</v>
      </c>
      <c r="F91" s="43">
        <v>2014</v>
      </c>
      <c r="G91" s="36">
        <v>5248</v>
      </c>
      <c r="H91" s="36">
        <v>2096</v>
      </c>
      <c r="I91" s="36">
        <v>3152</v>
      </c>
      <c r="J91" s="36">
        <v>44581</v>
      </c>
      <c r="K91" s="36">
        <v>85</v>
      </c>
      <c r="L91" s="36">
        <v>25</v>
      </c>
      <c r="M91" s="36">
        <v>28</v>
      </c>
      <c r="N91" s="36">
        <v>4189</v>
      </c>
      <c r="O91" s="36">
        <v>162096.19286616868</v>
      </c>
      <c r="P91" s="36">
        <v>2587</v>
      </c>
      <c r="Q91" s="36">
        <v>5373</v>
      </c>
      <c r="R91" s="36">
        <v>1212</v>
      </c>
      <c r="S91" s="36">
        <v>4280</v>
      </c>
      <c r="T91" s="36"/>
      <c r="U91" s="36"/>
      <c r="V91" s="36">
        <v>2310</v>
      </c>
      <c r="W91" s="36">
        <v>1075</v>
      </c>
      <c r="X91" s="36">
        <v>1099</v>
      </c>
      <c r="Y91" s="36">
        <v>1058</v>
      </c>
      <c r="Z91" s="36">
        <v>5248</v>
      </c>
      <c r="AA91" s="36">
        <v>74400637</v>
      </c>
      <c r="AB91" s="36">
        <v>330</v>
      </c>
      <c r="AC91" s="36">
        <v>4694</v>
      </c>
      <c r="AD91" s="36">
        <v>233</v>
      </c>
      <c r="AE91" s="36">
        <v>372</v>
      </c>
      <c r="AF91" s="36">
        <v>353</v>
      </c>
      <c r="AG91" s="36">
        <v>155</v>
      </c>
      <c r="AH91" s="36">
        <v>145</v>
      </c>
      <c r="AI91" s="36">
        <v>6288</v>
      </c>
      <c r="AJ91" s="36">
        <v>137</v>
      </c>
      <c r="AK91" s="36">
        <v>5</v>
      </c>
      <c r="AL91" s="36">
        <v>5248</v>
      </c>
      <c r="AM91" s="36">
        <v>148</v>
      </c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</row>
    <row r="92" spans="1:56" hidden="1" x14ac:dyDescent="0.25">
      <c r="A92" s="43" t="s">
        <v>49</v>
      </c>
      <c r="B92" s="44">
        <v>25</v>
      </c>
      <c r="C92" s="43" t="s">
        <v>76</v>
      </c>
      <c r="D92" s="43" t="s">
        <v>21</v>
      </c>
      <c r="E92" s="43" t="s">
        <v>89</v>
      </c>
      <c r="F92" s="43">
        <v>2014</v>
      </c>
      <c r="G92" s="36">
        <v>8710</v>
      </c>
      <c r="H92" s="36">
        <v>3009</v>
      </c>
      <c r="I92" s="36">
        <v>5701</v>
      </c>
      <c r="J92" s="36">
        <v>42315</v>
      </c>
      <c r="K92" s="36">
        <v>183</v>
      </c>
      <c r="L92" s="36">
        <v>51</v>
      </c>
      <c r="M92" s="36">
        <v>52</v>
      </c>
      <c r="N92" s="36">
        <v>7519</v>
      </c>
      <c r="O92" s="36">
        <v>166457.72226850703</v>
      </c>
      <c r="P92" s="36">
        <v>3539</v>
      </c>
      <c r="Q92" s="36">
        <v>9306</v>
      </c>
      <c r="R92" s="36">
        <v>2357</v>
      </c>
      <c r="S92" s="36">
        <v>1943</v>
      </c>
      <c r="T92" s="36"/>
      <c r="U92" s="36"/>
      <c r="V92" s="36">
        <v>3737</v>
      </c>
      <c r="W92" s="36">
        <v>2199</v>
      </c>
      <c r="X92" s="36">
        <v>2310</v>
      </c>
      <c r="Y92" s="36">
        <v>2282</v>
      </c>
      <c r="Z92" s="36">
        <v>8710</v>
      </c>
      <c r="AA92" s="36">
        <v>188341290</v>
      </c>
      <c r="AB92" s="36">
        <v>610</v>
      </c>
      <c r="AC92" s="36">
        <v>8817</v>
      </c>
      <c r="AD92" s="36">
        <v>504</v>
      </c>
      <c r="AE92" s="36">
        <v>696</v>
      </c>
      <c r="AF92" s="36">
        <v>941</v>
      </c>
      <c r="AG92" s="36">
        <v>218</v>
      </c>
      <c r="AH92" s="36">
        <v>470</v>
      </c>
      <c r="AI92" s="36">
        <v>3570</v>
      </c>
      <c r="AJ92" s="36">
        <v>326</v>
      </c>
      <c r="AK92" s="36">
        <v>8</v>
      </c>
      <c r="AL92" s="36">
        <v>3764</v>
      </c>
      <c r="AM92" s="36">
        <v>246</v>
      </c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</row>
    <row r="93" spans="1:56" hidden="1" x14ac:dyDescent="0.25">
      <c r="A93" s="43" t="s">
        <v>49</v>
      </c>
      <c r="B93" s="44">
        <v>26</v>
      </c>
      <c r="C93" s="43" t="s">
        <v>77</v>
      </c>
      <c r="D93" s="43" t="s">
        <v>22</v>
      </c>
      <c r="E93" s="43" t="s">
        <v>89</v>
      </c>
      <c r="F93" s="43">
        <v>2014</v>
      </c>
      <c r="G93" s="36">
        <v>13206</v>
      </c>
      <c r="H93" s="36">
        <v>5686</v>
      </c>
      <c r="I93" s="36">
        <v>7520</v>
      </c>
      <c r="J93" s="36">
        <v>47196</v>
      </c>
      <c r="K93" s="36">
        <v>243</v>
      </c>
      <c r="L93" s="36">
        <v>36</v>
      </c>
      <c r="M93" s="36">
        <v>47</v>
      </c>
      <c r="N93" s="36">
        <v>11132</v>
      </c>
      <c r="O93" s="36">
        <v>157947.49966147181</v>
      </c>
      <c r="P93" s="36">
        <v>5848</v>
      </c>
      <c r="Q93" s="36">
        <v>12900</v>
      </c>
      <c r="R93" s="36">
        <v>2678</v>
      </c>
      <c r="S93" s="36">
        <v>4554</v>
      </c>
      <c r="T93" s="36"/>
      <c r="U93" s="36"/>
      <c r="V93" s="36">
        <v>5937</v>
      </c>
      <c r="W93" s="36">
        <v>2409</v>
      </c>
      <c r="X93" s="36">
        <v>2545</v>
      </c>
      <c r="Y93" s="36">
        <v>2323</v>
      </c>
      <c r="Z93" s="36">
        <v>13206</v>
      </c>
      <c r="AA93" s="36">
        <v>191095252</v>
      </c>
      <c r="AB93" s="36">
        <v>517</v>
      </c>
      <c r="AC93" s="36">
        <v>11662</v>
      </c>
      <c r="AD93" s="36">
        <v>446</v>
      </c>
      <c r="AE93" s="36">
        <v>769</v>
      </c>
      <c r="AF93" s="36">
        <v>1019</v>
      </c>
      <c r="AG93" s="36">
        <v>328</v>
      </c>
      <c r="AH93" s="36">
        <v>405</v>
      </c>
      <c r="AI93" s="36">
        <v>10087</v>
      </c>
      <c r="AJ93" s="36">
        <v>1322</v>
      </c>
      <c r="AK93" s="36">
        <v>2</v>
      </c>
      <c r="AL93" s="36">
        <v>1594</v>
      </c>
      <c r="AM93" s="36">
        <v>61</v>
      </c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56" hidden="1" x14ac:dyDescent="0.25">
      <c r="A94" s="43" t="s">
        <v>49</v>
      </c>
      <c r="B94" s="44">
        <v>27</v>
      </c>
      <c r="C94" s="43" t="s">
        <v>78</v>
      </c>
      <c r="D94" s="43" t="s">
        <v>23</v>
      </c>
      <c r="E94" s="43" t="s">
        <v>89</v>
      </c>
      <c r="F94" s="43">
        <v>2014</v>
      </c>
      <c r="G94" s="36">
        <v>5650</v>
      </c>
      <c r="H94" s="36">
        <v>2162</v>
      </c>
      <c r="I94" s="36">
        <v>3488</v>
      </c>
      <c r="J94" s="36">
        <v>37096</v>
      </c>
      <c r="K94" s="36">
        <v>76</v>
      </c>
      <c r="L94" s="36">
        <v>22</v>
      </c>
      <c r="M94" s="36">
        <v>25</v>
      </c>
      <c r="N94" s="36">
        <v>4790</v>
      </c>
      <c r="O94" s="36">
        <v>134485.23354493981</v>
      </c>
      <c r="P94" s="36">
        <v>2162</v>
      </c>
      <c r="Q94" s="36">
        <v>5452</v>
      </c>
      <c r="R94" s="36">
        <v>1251</v>
      </c>
      <c r="S94" s="36">
        <v>949</v>
      </c>
      <c r="T94" s="36"/>
      <c r="U94" s="36"/>
      <c r="V94" s="36">
        <v>1976</v>
      </c>
      <c r="W94" s="36">
        <v>1082</v>
      </c>
      <c r="X94" s="36">
        <v>1138</v>
      </c>
      <c r="Y94" s="36">
        <v>1102</v>
      </c>
      <c r="Z94" s="36">
        <v>5650</v>
      </c>
      <c r="AA94" s="36">
        <v>94704706</v>
      </c>
      <c r="AB94" s="36">
        <v>297</v>
      </c>
      <c r="AC94" s="36">
        <v>4885</v>
      </c>
      <c r="AD94" s="36">
        <v>351</v>
      </c>
      <c r="AE94" s="36">
        <v>475</v>
      </c>
      <c r="AF94" s="36">
        <v>497</v>
      </c>
      <c r="AG94" s="36">
        <v>127</v>
      </c>
      <c r="AH94" s="36">
        <v>187</v>
      </c>
      <c r="AI94" s="36">
        <v>1647</v>
      </c>
      <c r="AJ94" s="36">
        <v>18</v>
      </c>
      <c r="AK94" s="36">
        <v>5</v>
      </c>
      <c r="AL94" s="36">
        <v>3743</v>
      </c>
      <c r="AM94" s="36">
        <v>494</v>
      </c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56" hidden="1" x14ac:dyDescent="0.25">
      <c r="A95" s="43" t="s">
        <v>49</v>
      </c>
      <c r="B95" s="44">
        <v>28</v>
      </c>
      <c r="C95" s="43" t="s">
        <v>79</v>
      </c>
      <c r="D95" s="43" t="s">
        <v>24</v>
      </c>
      <c r="E95" s="43" t="s">
        <v>89</v>
      </c>
      <c r="F95" s="43">
        <v>2014</v>
      </c>
      <c r="G95" s="36">
        <v>9281</v>
      </c>
      <c r="H95" s="36">
        <v>3511</v>
      </c>
      <c r="I95" s="36">
        <v>5770</v>
      </c>
      <c r="J95" s="36">
        <v>45178</v>
      </c>
      <c r="K95" s="36">
        <v>147</v>
      </c>
      <c r="L95" s="36">
        <v>22</v>
      </c>
      <c r="M95" s="36">
        <v>49</v>
      </c>
      <c r="N95" s="36">
        <v>8044</v>
      </c>
      <c r="O95" s="36">
        <v>186927.85501677764</v>
      </c>
      <c r="P95" s="36">
        <v>4017</v>
      </c>
      <c r="Q95" s="36">
        <v>9144</v>
      </c>
      <c r="R95" s="36">
        <v>1900</v>
      </c>
      <c r="S95" s="36">
        <v>2518</v>
      </c>
      <c r="T95" s="36"/>
      <c r="U95" s="36"/>
      <c r="V95" s="36">
        <v>3417</v>
      </c>
      <c r="W95" s="36">
        <v>1728</v>
      </c>
      <c r="X95" s="36">
        <v>1672</v>
      </c>
      <c r="Y95" s="36">
        <v>1591</v>
      </c>
      <c r="Z95" s="36">
        <v>9281</v>
      </c>
      <c r="AA95" s="36">
        <v>147355193</v>
      </c>
      <c r="AB95" s="36">
        <v>408</v>
      </c>
      <c r="AC95" s="36">
        <v>8306</v>
      </c>
      <c r="AD95" s="36">
        <v>366</v>
      </c>
      <c r="AE95" s="36">
        <v>577</v>
      </c>
      <c r="AF95" s="36">
        <v>955</v>
      </c>
      <c r="AG95" s="36">
        <v>280</v>
      </c>
      <c r="AH95" s="36">
        <v>291</v>
      </c>
      <c r="AI95" s="36">
        <v>11238</v>
      </c>
      <c r="AJ95" s="36">
        <v>213</v>
      </c>
      <c r="AK95" s="36">
        <v>8</v>
      </c>
      <c r="AL95" s="36">
        <v>9281</v>
      </c>
      <c r="AM95" s="36">
        <v>59</v>
      </c>
      <c r="AN95" s="36">
        <v>49</v>
      </c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</row>
    <row r="96" spans="1:56" hidden="1" x14ac:dyDescent="0.25">
      <c r="A96" s="43" t="s">
        <v>49</v>
      </c>
      <c r="B96" s="44">
        <v>29</v>
      </c>
      <c r="C96" s="43" t="s">
        <v>80</v>
      </c>
      <c r="D96" s="43" t="s">
        <v>25</v>
      </c>
      <c r="E96" s="43" t="s">
        <v>89</v>
      </c>
      <c r="F96" s="43">
        <v>2014</v>
      </c>
      <c r="G96" s="36">
        <v>3081</v>
      </c>
      <c r="H96" s="36">
        <v>1224</v>
      </c>
      <c r="I96" s="36">
        <v>1857</v>
      </c>
      <c r="J96" s="36">
        <v>20703</v>
      </c>
      <c r="K96" s="36">
        <v>43</v>
      </c>
      <c r="L96" s="36">
        <v>11</v>
      </c>
      <c r="M96" s="36">
        <v>17</v>
      </c>
      <c r="N96" s="36">
        <v>2556</v>
      </c>
      <c r="O96" s="36">
        <v>73465.171265943092</v>
      </c>
      <c r="P96" s="36">
        <v>1374</v>
      </c>
      <c r="Q96" s="36">
        <v>3098</v>
      </c>
      <c r="R96" s="36">
        <v>716</v>
      </c>
      <c r="S96" s="36">
        <v>659</v>
      </c>
      <c r="T96" s="36"/>
      <c r="U96" s="36"/>
      <c r="V96" s="36">
        <v>1065</v>
      </c>
      <c r="W96" s="36">
        <v>618</v>
      </c>
      <c r="X96" s="36">
        <v>628</v>
      </c>
      <c r="Y96" s="36">
        <v>618</v>
      </c>
      <c r="Z96" s="36">
        <v>3081</v>
      </c>
      <c r="AA96" s="36">
        <v>35904311</v>
      </c>
      <c r="AB96" s="36">
        <v>188</v>
      </c>
      <c r="AC96" s="36">
        <v>2759</v>
      </c>
      <c r="AD96" s="36">
        <v>172</v>
      </c>
      <c r="AE96" s="36">
        <v>251</v>
      </c>
      <c r="AF96" s="36">
        <v>372</v>
      </c>
      <c r="AG96" s="36">
        <v>94</v>
      </c>
      <c r="AH96" s="36">
        <v>73</v>
      </c>
      <c r="AI96" s="36">
        <v>740</v>
      </c>
      <c r="AJ96" s="36">
        <v>98</v>
      </c>
      <c r="AK96" s="36">
        <v>3</v>
      </c>
      <c r="AL96" s="36">
        <v>3081</v>
      </c>
      <c r="AM96" s="36">
        <v>0</v>
      </c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1:56" hidden="1" x14ac:dyDescent="0.25">
      <c r="A97" s="43" t="s">
        <v>49</v>
      </c>
      <c r="B97" s="44">
        <v>30</v>
      </c>
      <c r="C97" s="43" t="s">
        <v>81</v>
      </c>
      <c r="D97" s="43" t="s">
        <v>53</v>
      </c>
      <c r="E97" s="43" t="s">
        <v>89</v>
      </c>
      <c r="F97" s="43">
        <v>2014</v>
      </c>
      <c r="G97" s="36">
        <v>9124</v>
      </c>
      <c r="H97" s="36">
        <v>3471</v>
      </c>
      <c r="I97" s="36">
        <v>5653</v>
      </c>
      <c r="J97" s="36">
        <v>126662</v>
      </c>
      <c r="K97" s="36">
        <v>175</v>
      </c>
      <c r="L97" s="36">
        <v>36</v>
      </c>
      <c r="M97" s="36">
        <v>74</v>
      </c>
      <c r="N97" s="36">
        <v>7781</v>
      </c>
      <c r="O97" s="36">
        <v>452203.20298290963</v>
      </c>
      <c r="P97" s="36">
        <v>4973</v>
      </c>
      <c r="Q97" s="36">
        <v>9096</v>
      </c>
      <c r="R97" s="36">
        <v>2328</v>
      </c>
      <c r="S97" s="36">
        <v>1636</v>
      </c>
      <c r="T97" s="36"/>
      <c r="U97" s="36"/>
      <c r="V97" s="36">
        <v>3724</v>
      </c>
      <c r="W97" s="36">
        <v>2162</v>
      </c>
      <c r="X97" s="36">
        <v>2105</v>
      </c>
      <c r="Y97" s="36">
        <v>2017</v>
      </c>
      <c r="Z97" s="36">
        <v>9124</v>
      </c>
      <c r="AA97" s="36">
        <v>193254123</v>
      </c>
      <c r="AB97" s="36">
        <v>565</v>
      </c>
      <c r="AC97" s="36">
        <v>8432</v>
      </c>
      <c r="AD97" s="36">
        <v>450</v>
      </c>
      <c r="AE97" s="36">
        <v>644</v>
      </c>
      <c r="AF97" s="36">
        <v>1217</v>
      </c>
      <c r="AG97" s="36">
        <v>293</v>
      </c>
      <c r="AH97" s="36">
        <v>397</v>
      </c>
      <c r="AI97" s="36">
        <v>7761</v>
      </c>
      <c r="AJ97" s="36">
        <v>198</v>
      </c>
      <c r="AK97" s="36">
        <v>10</v>
      </c>
      <c r="AL97" s="36">
        <v>7283</v>
      </c>
      <c r="AM97" s="36">
        <v>1150</v>
      </c>
      <c r="AN97" s="36">
        <v>563</v>
      </c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</row>
    <row r="98" spans="1:56" hidden="1" x14ac:dyDescent="0.25">
      <c r="A98" s="43" t="s">
        <v>49</v>
      </c>
      <c r="B98" s="44">
        <v>31</v>
      </c>
      <c r="C98" s="43" t="s">
        <v>82</v>
      </c>
      <c r="D98" s="43" t="s">
        <v>26</v>
      </c>
      <c r="E98" s="43" t="s">
        <v>89</v>
      </c>
      <c r="F98" s="43">
        <v>2014</v>
      </c>
      <c r="G98" s="36">
        <v>4704</v>
      </c>
      <c r="H98" s="36">
        <v>1794</v>
      </c>
      <c r="I98" s="36">
        <v>2910</v>
      </c>
      <c r="J98" s="36">
        <v>30399</v>
      </c>
      <c r="K98" s="36">
        <v>63</v>
      </c>
      <c r="L98" s="36">
        <v>14</v>
      </c>
      <c r="M98" s="36">
        <v>24</v>
      </c>
      <c r="N98" s="36">
        <v>3574</v>
      </c>
      <c r="O98" s="36">
        <v>112099.1667818322</v>
      </c>
      <c r="P98" s="36">
        <v>2327</v>
      </c>
      <c r="Q98" s="36">
        <v>4673</v>
      </c>
      <c r="R98" s="36">
        <v>950</v>
      </c>
      <c r="S98" s="36">
        <v>1235</v>
      </c>
      <c r="T98" s="36"/>
      <c r="U98" s="36"/>
      <c r="V98" s="36">
        <v>1953</v>
      </c>
      <c r="W98" s="36">
        <v>849</v>
      </c>
      <c r="X98" s="36">
        <v>998</v>
      </c>
      <c r="Y98" s="36">
        <v>869</v>
      </c>
      <c r="Z98" s="36">
        <v>4704</v>
      </c>
      <c r="AA98" s="36">
        <v>85719142</v>
      </c>
      <c r="AB98" s="36">
        <v>273</v>
      </c>
      <c r="AC98" s="36">
        <v>4385</v>
      </c>
      <c r="AD98" s="36">
        <v>269</v>
      </c>
      <c r="AE98" s="36">
        <v>396</v>
      </c>
      <c r="AF98" s="36">
        <v>360</v>
      </c>
      <c r="AG98" s="36">
        <v>127</v>
      </c>
      <c r="AH98" s="36">
        <v>154</v>
      </c>
      <c r="AI98" s="36">
        <v>5669</v>
      </c>
      <c r="AJ98" s="36">
        <v>11</v>
      </c>
      <c r="AK98" s="36">
        <v>4</v>
      </c>
      <c r="AL98" s="36">
        <v>3930</v>
      </c>
      <c r="AM98" s="36">
        <v>1436</v>
      </c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</row>
    <row r="99" spans="1:56" hidden="1" x14ac:dyDescent="0.25">
      <c r="A99" s="43" t="s">
        <v>49</v>
      </c>
      <c r="B99" s="44">
        <v>32</v>
      </c>
      <c r="C99" s="43" t="s">
        <v>83</v>
      </c>
      <c r="D99" s="43" t="s">
        <v>27</v>
      </c>
      <c r="E99" s="43" t="s">
        <v>89</v>
      </c>
      <c r="F99" s="43">
        <v>2014</v>
      </c>
      <c r="G99" s="36">
        <v>1694</v>
      </c>
      <c r="H99" s="36">
        <v>695</v>
      </c>
      <c r="I99" s="36">
        <v>999</v>
      </c>
      <c r="J99" s="36">
        <v>26654</v>
      </c>
      <c r="K99" s="36">
        <v>46</v>
      </c>
      <c r="L99" s="36">
        <v>16</v>
      </c>
      <c r="M99" s="36">
        <v>7</v>
      </c>
      <c r="N99" s="36">
        <v>1355</v>
      </c>
      <c r="O99" s="36">
        <v>91323.11722019731</v>
      </c>
      <c r="P99" s="36">
        <v>790</v>
      </c>
      <c r="Q99" s="36">
        <v>1759</v>
      </c>
      <c r="R99" s="36">
        <v>342</v>
      </c>
      <c r="S99" s="36">
        <v>776</v>
      </c>
      <c r="T99" s="36"/>
      <c r="U99" s="36"/>
      <c r="V99" s="36">
        <v>704</v>
      </c>
      <c r="W99" s="36">
        <v>276</v>
      </c>
      <c r="X99" s="36">
        <v>287</v>
      </c>
      <c r="Y99" s="36">
        <v>283</v>
      </c>
      <c r="Z99" s="36">
        <v>1694</v>
      </c>
      <c r="AA99" s="36">
        <v>31289967</v>
      </c>
      <c r="AB99" s="36">
        <v>85</v>
      </c>
      <c r="AC99" s="36">
        <v>1463</v>
      </c>
      <c r="AD99" s="36">
        <v>147</v>
      </c>
      <c r="AE99" s="36">
        <v>221</v>
      </c>
      <c r="AF99" s="36">
        <v>164</v>
      </c>
      <c r="AG99" s="36">
        <v>63</v>
      </c>
      <c r="AH99" s="36">
        <v>76</v>
      </c>
      <c r="AI99" s="36">
        <v>2318</v>
      </c>
      <c r="AJ99" s="36">
        <v>316</v>
      </c>
      <c r="AK99" s="36">
        <v>2</v>
      </c>
      <c r="AL99" s="36">
        <v>1462</v>
      </c>
      <c r="AM99" s="36">
        <v>252</v>
      </c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</row>
    <row r="100" spans="1:56" hidden="1" x14ac:dyDescent="0.25">
      <c r="A100" s="43" t="s">
        <v>134</v>
      </c>
      <c r="B100" s="44">
        <v>33</v>
      </c>
      <c r="C100" s="43" t="s">
        <v>135</v>
      </c>
      <c r="D100" s="43" t="s">
        <v>40</v>
      </c>
      <c r="E100" s="43" t="s">
        <v>89</v>
      </c>
      <c r="F100" s="43">
        <v>2014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</row>
    <row r="101" spans="1:56" hidden="1" x14ac:dyDescent="0.25">
      <c r="A101" s="45" t="s">
        <v>49</v>
      </c>
      <c r="B101" s="46">
        <v>1</v>
      </c>
      <c r="C101" s="45" t="s">
        <v>54</v>
      </c>
      <c r="D101" s="45" t="s">
        <v>1</v>
      </c>
      <c r="E101" s="45" t="s">
        <v>90</v>
      </c>
      <c r="F101" s="45">
        <v>2015</v>
      </c>
      <c r="G101" s="14">
        <v>4664</v>
      </c>
      <c r="H101" s="14">
        <v>1765</v>
      </c>
      <c r="I101" s="14">
        <v>2899</v>
      </c>
      <c r="J101" s="14">
        <v>24393</v>
      </c>
      <c r="K101" s="14">
        <v>84</v>
      </c>
      <c r="L101" s="14">
        <v>14</v>
      </c>
      <c r="M101" s="14">
        <v>19</v>
      </c>
      <c r="N101" s="14">
        <v>4285</v>
      </c>
      <c r="O101" s="14">
        <v>75584.213108640746</v>
      </c>
      <c r="P101" s="14">
        <v>2733</v>
      </c>
      <c r="Q101" s="14">
        <v>4702</v>
      </c>
      <c r="R101" s="14">
        <v>1283</v>
      </c>
      <c r="S101" s="14">
        <v>1417</v>
      </c>
      <c r="T101" s="14"/>
      <c r="U101" s="14"/>
      <c r="V101" s="14">
        <v>1859</v>
      </c>
      <c r="W101" s="14">
        <v>1091</v>
      </c>
      <c r="X101" s="14">
        <v>1195</v>
      </c>
      <c r="Y101" s="14">
        <v>1104</v>
      </c>
      <c r="Z101" s="14">
        <v>4664</v>
      </c>
      <c r="AA101" s="14">
        <v>55996773</v>
      </c>
      <c r="AB101" s="14">
        <v>299</v>
      </c>
      <c r="AC101" s="14"/>
      <c r="AD101" s="14"/>
      <c r="AE101" s="14">
        <v>404</v>
      </c>
      <c r="AF101" s="14">
        <v>451</v>
      </c>
      <c r="AG101" s="14">
        <v>106</v>
      </c>
      <c r="AH101" s="14">
        <v>146</v>
      </c>
      <c r="AI101" s="14">
        <v>2738</v>
      </c>
      <c r="AJ101" s="14">
        <v>351</v>
      </c>
      <c r="AK101" s="14" t="s">
        <v>2</v>
      </c>
      <c r="AL101" s="14">
        <v>0</v>
      </c>
      <c r="AM101" s="14">
        <v>486</v>
      </c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1:56" hidden="1" x14ac:dyDescent="0.25">
      <c r="A102" s="45" t="s">
        <v>49</v>
      </c>
      <c r="B102" s="46">
        <v>2</v>
      </c>
      <c r="C102" s="45" t="s">
        <v>55</v>
      </c>
      <c r="D102" s="45" t="s">
        <v>3</v>
      </c>
      <c r="E102" s="45" t="s">
        <v>90</v>
      </c>
      <c r="F102" s="45">
        <v>2015</v>
      </c>
      <c r="G102" s="14">
        <v>8256</v>
      </c>
      <c r="H102" s="14">
        <v>3651</v>
      </c>
      <c r="I102" s="14">
        <v>4605</v>
      </c>
      <c r="J102" s="14">
        <v>54941</v>
      </c>
      <c r="K102" s="14">
        <v>118</v>
      </c>
      <c r="L102" s="14">
        <v>16</v>
      </c>
      <c r="M102" s="14">
        <v>25</v>
      </c>
      <c r="N102" s="14">
        <v>6270</v>
      </c>
      <c r="O102" s="14">
        <v>190856.64998810878</v>
      </c>
      <c r="P102" s="14">
        <v>4071</v>
      </c>
      <c r="Q102" s="14">
        <v>8064</v>
      </c>
      <c r="R102" s="14">
        <v>1768</v>
      </c>
      <c r="S102" s="14">
        <v>4131</v>
      </c>
      <c r="T102" s="14"/>
      <c r="U102" s="14"/>
      <c r="V102" s="14">
        <v>3424</v>
      </c>
      <c r="W102" s="14">
        <v>1519</v>
      </c>
      <c r="X102" s="14">
        <v>1508</v>
      </c>
      <c r="Y102" s="14">
        <v>1422</v>
      </c>
      <c r="Z102" s="14">
        <v>8256</v>
      </c>
      <c r="AA102" s="14">
        <v>119937277</v>
      </c>
      <c r="AB102" s="14">
        <v>372</v>
      </c>
      <c r="AC102" s="14"/>
      <c r="AD102" s="14"/>
      <c r="AE102" s="14">
        <v>435</v>
      </c>
      <c r="AF102" s="14">
        <v>627</v>
      </c>
      <c r="AG102" s="14">
        <v>113</v>
      </c>
      <c r="AH102" s="14">
        <v>203</v>
      </c>
      <c r="AI102" s="14">
        <v>2365</v>
      </c>
      <c r="AJ102" s="14">
        <v>37</v>
      </c>
      <c r="AK102" s="14">
        <v>6</v>
      </c>
      <c r="AL102" s="14">
        <v>8256</v>
      </c>
      <c r="AM102" s="14">
        <v>65</v>
      </c>
      <c r="AN102" s="14">
        <v>1083</v>
      </c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1:56" hidden="1" x14ac:dyDescent="0.25">
      <c r="A103" s="45" t="s">
        <v>49</v>
      </c>
      <c r="B103" s="46">
        <v>3</v>
      </c>
      <c r="C103" s="45" t="s">
        <v>56</v>
      </c>
      <c r="D103" s="45" t="s">
        <v>4</v>
      </c>
      <c r="E103" s="45" t="s">
        <v>90</v>
      </c>
      <c r="F103" s="45">
        <v>2015</v>
      </c>
      <c r="G103" s="14">
        <v>1875</v>
      </c>
      <c r="H103" s="14">
        <v>660</v>
      </c>
      <c r="I103" s="14">
        <v>1215</v>
      </c>
      <c r="J103" s="14">
        <v>12036</v>
      </c>
      <c r="K103" s="14">
        <v>17</v>
      </c>
      <c r="L103" s="14">
        <v>6</v>
      </c>
      <c r="M103" s="14">
        <v>2</v>
      </c>
      <c r="N103" s="14">
        <v>1313</v>
      </c>
      <c r="O103" s="14">
        <v>40261.144968133696</v>
      </c>
      <c r="P103" s="14">
        <v>909</v>
      </c>
      <c r="Q103" s="14">
        <v>1962</v>
      </c>
      <c r="R103" s="14">
        <v>492</v>
      </c>
      <c r="S103" s="14">
        <v>802</v>
      </c>
      <c r="T103" s="14"/>
      <c r="U103" s="14"/>
      <c r="V103" s="14">
        <v>858</v>
      </c>
      <c r="W103" s="14">
        <v>429</v>
      </c>
      <c r="X103" s="14">
        <v>331</v>
      </c>
      <c r="Y103" s="14">
        <v>308</v>
      </c>
      <c r="Z103" s="14">
        <v>1875</v>
      </c>
      <c r="AA103" s="14">
        <v>30051110</v>
      </c>
      <c r="AB103" s="14">
        <v>99</v>
      </c>
      <c r="AC103" s="14"/>
      <c r="AD103" s="14"/>
      <c r="AE103" s="14">
        <v>223.00000000000003</v>
      </c>
      <c r="AF103" s="14">
        <v>217</v>
      </c>
      <c r="AG103" s="14">
        <v>46</v>
      </c>
      <c r="AH103" s="14">
        <v>59</v>
      </c>
      <c r="AI103" s="14">
        <v>707</v>
      </c>
      <c r="AJ103" s="14">
        <v>0</v>
      </c>
      <c r="AK103" s="14" t="s">
        <v>2</v>
      </c>
      <c r="AL103" s="14">
        <v>0</v>
      </c>
      <c r="AM103" s="14">
        <v>39</v>
      </c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1:56" hidden="1" x14ac:dyDescent="0.25">
      <c r="A104" s="45" t="s">
        <v>49</v>
      </c>
      <c r="B104" s="46">
        <v>4</v>
      </c>
      <c r="C104" s="45" t="s">
        <v>57</v>
      </c>
      <c r="D104" s="45" t="s">
        <v>5</v>
      </c>
      <c r="E104" s="45" t="s">
        <v>90</v>
      </c>
      <c r="F104" s="45">
        <v>2015</v>
      </c>
      <c r="G104" s="14">
        <v>1890</v>
      </c>
      <c r="H104" s="14">
        <v>753</v>
      </c>
      <c r="I104" s="14">
        <v>1137</v>
      </c>
      <c r="J104" s="14">
        <v>13297</v>
      </c>
      <c r="K104" s="14">
        <v>38</v>
      </c>
      <c r="L104" s="14">
        <v>6</v>
      </c>
      <c r="M104" s="14">
        <v>17</v>
      </c>
      <c r="N104" s="14">
        <v>1260</v>
      </c>
      <c r="O104" s="14">
        <v>48789.089747920065</v>
      </c>
      <c r="P104" s="14">
        <v>893</v>
      </c>
      <c r="Q104" s="14">
        <v>1918</v>
      </c>
      <c r="R104" s="14">
        <v>414</v>
      </c>
      <c r="S104" s="14">
        <v>750</v>
      </c>
      <c r="T104" s="14"/>
      <c r="U104" s="14"/>
      <c r="V104" s="14">
        <v>802</v>
      </c>
      <c r="W104" s="14">
        <v>367</v>
      </c>
      <c r="X104" s="14">
        <v>321</v>
      </c>
      <c r="Y104" s="14">
        <v>292</v>
      </c>
      <c r="Z104" s="14">
        <v>1890</v>
      </c>
      <c r="AA104" s="14">
        <v>35958415</v>
      </c>
      <c r="AB104" s="14">
        <v>105</v>
      </c>
      <c r="AC104" s="14"/>
      <c r="AD104" s="14"/>
      <c r="AE104" s="14">
        <v>232</v>
      </c>
      <c r="AF104" s="14">
        <v>311</v>
      </c>
      <c r="AG104" s="14">
        <v>63</v>
      </c>
      <c r="AH104" s="14">
        <v>71</v>
      </c>
      <c r="AI104" s="14">
        <v>421</v>
      </c>
      <c r="AJ104" s="14">
        <v>84</v>
      </c>
      <c r="AK104" s="14">
        <v>3</v>
      </c>
      <c r="AL104" s="14">
        <v>1890</v>
      </c>
      <c r="AM104" s="14">
        <v>292</v>
      </c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</row>
    <row r="105" spans="1:56" hidden="1" x14ac:dyDescent="0.25">
      <c r="A105" s="45" t="s">
        <v>49</v>
      </c>
      <c r="B105" s="46">
        <v>7</v>
      </c>
      <c r="C105" s="45" t="s">
        <v>58</v>
      </c>
      <c r="D105" s="45" t="s">
        <v>6</v>
      </c>
      <c r="E105" s="45" t="s">
        <v>90</v>
      </c>
      <c r="F105" s="45">
        <v>2015</v>
      </c>
      <c r="G105" s="14">
        <v>7432</v>
      </c>
      <c r="H105" s="14">
        <v>2774</v>
      </c>
      <c r="I105" s="14">
        <v>4658</v>
      </c>
      <c r="J105" s="14">
        <v>92580</v>
      </c>
      <c r="K105" s="14">
        <v>148</v>
      </c>
      <c r="L105" s="14">
        <v>19</v>
      </c>
      <c r="M105" s="14">
        <v>42</v>
      </c>
      <c r="N105" s="14">
        <v>5860</v>
      </c>
      <c r="O105" s="14">
        <v>340773.49278888613</v>
      </c>
      <c r="P105" s="14">
        <v>3501</v>
      </c>
      <c r="Q105" s="14">
        <v>7561</v>
      </c>
      <c r="R105" s="14">
        <v>1876</v>
      </c>
      <c r="S105" s="14">
        <v>2104</v>
      </c>
      <c r="T105" s="14"/>
      <c r="U105" s="14"/>
      <c r="V105" s="14">
        <v>2882</v>
      </c>
      <c r="W105" s="14">
        <v>1634</v>
      </c>
      <c r="X105" s="14">
        <v>1826</v>
      </c>
      <c r="Y105" s="14">
        <v>1714</v>
      </c>
      <c r="Z105" s="14">
        <v>7432</v>
      </c>
      <c r="AA105" s="14">
        <v>139280587</v>
      </c>
      <c r="AB105" s="14">
        <v>431</v>
      </c>
      <c r="AC105" s="14"/>
      <c r="AD105" s="14"/>
      <c r="AE105" s="14">
        <v>549</v>
      </c>
      <c r="AF105" s="14">
        <v>679</v>
      </c>
      <c r="AG105" s="14">
        <v>133</v>
      </c>
      <c r="AH105" s="14">
        <v>234</v>
      </c>
      <c r="AI105" s="14">
        <v>4628</v>
      </c>
      <c r="AJ105" s="14">
        <v>46</v>
      </c>
      <c r="AK105" s="14">
        <v>2</v>
      </c>
      <c r="AL105" s="14">
        <v>2007.3832</v>
      </c>
      <c r="AM105" s="14">
        <v>310</v>
      </c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1:56" hidden="1" x14ac:dyDescent="0.25">
      <c r="A106" s="45" t="s">
        <v>49</v>
      </c>
      <c r="B106" s="46">
        <v>8</v>
      </c>
      <c r="C106" s="45" t="s">
        <v>59</v>
      </c>
      <c r="D106" s="45" t="s">
        <v>7</v>
      </c>
      <c r="E106" s="45" t="s">
        <v>90</v>
      </c>
      <c r="F106" s="45">
        <v>2015</v>
      </c>
      <c r="G106" s="14">
        <v>9712</v>
      </c>
      <c r="H106" s="14">
        <v>4125</v>
      </c>
      <c r="I106" s="14">
        <v>5587</v>
      </c>
      <c r="J106" s="14">
        <v>56115</v>
      </c>
      <c r="K106" s="14">
        <v>154</v>
      </c>
      <c r="L106" s="14">
        <v>25</v>
      </c>
      <c r="M106" s="14">
        <v>45</v>
      </c>
      <c r="N106" s="14">
        <v>8331</v>
      </c>
      <c r="O106" s="14">
        <v>202192.57072636313</v>
      </c>
      <c r="P106" s="14">
        <v>4925</v>
      </c>
      <c r="Q106" s="14">
        <v>9728</v>
      </c>
      <c r="R106" s="14">
        <v>2287</v>
      </c>
      <c r="S106" s="14">
        <v>4300</v>
      </c>
      <c r="T106" s="14"/>
      <c r="U106" s="14"/>
      <c r="V106" s="14">
        <v>4195</v>
      </c>
      <c r="W106" s="14">
        <v>1992</v>
      </c>
      <c r="X106" s="14">
        <v>1732</v>
      </c>
      <c r="Y106" s="14">
        <v>1675</v>
      </c>
      <c r="Z106" s="14">
        <v>9712</v>
      </c>
      <c r="AA106" s="14">
        <v>133276489</v>
      </c>
      <c r="AB106" s="14">
        <v>558</v>
      </c>
      <c r="AC106" s="14"/>
      <c r="AD106" s="14"/>
      <c r="AE106" s="14">
        <v>281</v>
      </c>
      <c r="AF106" s="14">
        <v>917</v>
      </c>
      <c r="AG106" s="14">
        <v>180</v>
      </c>
      <c r="AH106" s="14">
        <v>234</v>
      </c>
      <c r="AI106" s="14">
        <v>2680</v>
      </c>
      <c r="AJ106" s="14">
        <v>356</v>
      </c>
      <c r="AK106" s="14">
        <v>5</v>
      </c>
      <c r="AL106" s="14">
        <v>6400.2080000000005</v>
      </c>
      <c r="AM106" s="14">
        <v>243</v>
      </c>
      <c r="AN106" s="14">
        <v>851</v>
      </c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1:56" hidden="1" x14ac:dyDescent="0.25">
      <c r="A107" s="45" t="s">
        <v>50</v>
      </c>
      <c r="B107" s="46">
        <v>9</v>
      </c>
      <c r="C107" s="45" t="s">
        <v>84</v>
      </c>
      <c r="D107" s="45" t="s">
        <v>32</v>
      </c>
      <c r="E107" s="45" t="s">
        <v>90</v>
      </c>
      <c r="F107" s="45">
        <v>2015</v>
      </c>
      <c r="G107" s="14">
        <v>44572</v>
      </c>
      <c r="H107" s="14">
        <v>19962</v>
      </c>
      <c r="I107" s="14">
        <v>24610</v>
      </c>
      <c r="J107" s="14">
        <v>149491</v>
      </c>
      <c r="K107" s="14">
        <v>545</v>
      </c>
      <c r="L107" s="14">
        <v>93</v>
      </c>
      <c r="M107" s="14">
        <v>166</v>
      </c>
      <c r="N107" s="14">
        <v>34314</v>
      </c>
      <c r="O107" s="14">
        <v>404322.29056727118</v>
      </c>
      <c r="P107" s="14">
        <v>24975</v>
      </c>
      <c r="Q107" s="14">
        <v>43160</v>
      </c>
      <c r="R107" s="14">
        <v>8536</v>
      </c>
      <c r="S107" s="14">
        <v>23772</v>
      </c>
      <c r="T107" s="14"/>
      <c r="U107" s="14"/>
      <c r="V107" s="14">
        <v>17932</v>
      </c>
      <c r="W107" s="14">
        <v>6975</v>
      </c>
      <c r="X107" s="14">
        <v>7626</v>
      </c>
      <c r="Y107" s="14">
        <v>5241</v>
      </c>
      <c r="Z107" s="14"/>
      <c r="AA107" s="14"/>
      <c r="AB107" s="14">
        <v>2166</v>
      </c>
      <c r="AC107" s="14"/>
      <c r="AD107" s="14"/>
      <c r="AE107" s="14">
        <v>1701.9999999999998</v>
      </c>
      <c r="AF107" s="14">
        <v>3225</v>
      </c>
      <c r="AG107" s="14">
        <v>908</v>
      </c>
      <c r="AH107" s="14">
        <v>1373</v>
      </c>
      <c r="AI107" s="14">
        <v>8979</v>
      </c>
      <c r="AJ107" s="14">
        <v>839</v>
      </c>
      <c r="AK107" s="14">
        <v>19</v>
      </c>
      <c r="AL107" s="14">
        <v>43368.555999999997</v>
      </c>
      <c r="AM107" s="14">
        <v>1770</v>
      </c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hidden="1" x14ac:dyDescent="0.25">
      <c r="A108" s="45" t="s">
        <v>49</v>
      </c>
      <c r="B108" s="46">
        <v>5</v>
      </c>
      <c r="C108" s="45" t="s">
        <v>60</v>
      </c>
      <c r="D108" s="45" t="s">
        <v>31</v>
      </c>
      <c r="E108" s="45" t="s">
        <v>90</v>
      </c>
      <c r="F108" s="45">
        <v>2015</v>
      </c>
      <c r="G108" s="14">
        <v>8924</v>
      </c>
      <c r="H108" s="14">
        <v>4120</v>
      </c>
      <c r="I108" s="14">
        <v>4804</v>
      </c>
      <c r="J108" s="14">
        <v>44444</v>
      </c>
      <c r="K108" s="14">
        <v>126</v>
      </c>
      <c r="L108" s="14">
        <v>24</v>
      </c>
      <c r="M108" s="14">
        <v>43</v>
      </c>
      <c r="N108" s="14">
        <v>7619</v>
      </c>
      <c r="O108" s="14">
        <v>164151.24862727136</v>
      </c>
      <c r="P108" s="14">
        <v>5008</v>
      </c>
      <c r="Q108" s="14">
        <v>7918</v>
      </c>
      <c r="R108" s="14">
        <v>1920</v>
      </c>
      <c r="S108" s="14">
        <v>2529</v>
      </c>
      <c r="T108" s="14"/>
      <c r="U108" s="14"/>
      <c r="V108" s="14">
        <v>3210</v>
      </c>
      <c r="W108" s="14">
        <v>1732</v>
      </c>
      <c r="X108" s="14">
        <v>1840</v>
      </c>
      <c r="Y108" s="14">
        <v>1795</v>
      </c>
      <c r="Z108" s="14">
        <v>8924</v>
      </c>
      <c r="AA108" s="14">
        <v>130737471</v>
      </c>
      <c r="AB108" s="14">
        <v>423</v>
      </c>
      <c r="AC108" s="14"/>
      <c r="AD108" s="14"/>
      <c r="AE108" s="14">
        <v>531</v>
      </c>
      <c r="AF108" s="14">
        <v>846</v>
      </c>
      <c r="AG108" s="14">
        <v>144</v>
      </c>
      <c r="AH108" s="14">
        <v>234</v>
      </c>
      <c r="AI108" s="14">
        <v>500</v>
      </c>
      <c r="AJ108" s="14">
        <v>42</v>
      </c>
      <c r="AK108" s="14">
        <v>8</v>
      </c>
      <c r="AL108" s="14">
        <v>8924</v>
      </c>
      <c r="AM108" s="14">
        <v>49</v>
      </c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1:56" hidden="1" x14ac:dyDescent="0.25">
      <c r="A109" s="45" t="s">
        <v>49</v>
      </c>
      <c r="B109" s="46">
        <v>6</v>
      </c>
      <c r="C109" s="45" t="s">
        <v>61</v>
      </c>
      <c r="D109" s="45" t="s">
        <v>8</v>
      </c>
      <c r="E109" s="45" t="s">
        <v>90</v>
      </c>
      <c r="F109" s="45">
        <v>2015</v>
      </c>
      <c r="G109" s="14">
        <v>1904</v>
      </c>
      <c r="H109" s="14">
        <v>883</v>
      </c>
      <c r="I109" s="14">
        <v>1021</v>
      </c>
      <c r="J109" s="14">
        <v>9679</v>
      </c>
      <c r="K109" s="14">
        <v>41</v>
      </c>
      <c r="L109" s="14">
        <v>5</v>
      </c>
      <c r="M109" s="14">
        <v>10</v>
      </c>
      <c r="N109" s="14">
        <v>1155</v>
      </c>
      <c r="O109" s="14">
        <v>37724.691315219032</v>
      </c>
      <c r="P109" s="14">
        <v>1004</v>
      </c>
      <c r="Q109" s="14">
        <v>1906</v>
      </c>
      <c r="R109" s="14">
        <v>392</v>
      </c>
      <c r="S109" s="14">
        <v>1144</v>
      </c>
      <c r="T109" s="14"/>
      <c r="U109" s="14"/>
      <c r="V109" s="14">
        <v>837</v>
      </c>
      <c r="W109" s="14">
        <v>313</v>
      </c>
      <c r="X109" s="14">
        <v>323</v>
      </c>
      <c r="Y109" s="14">
        <v>316</v>
      </c>
      <c r="Z109" s="14">
        <v>1904</v>
      </c>
      <c r="AA109" s="14">
        <v>36314796</v>
      </c>
      <c r="AB109" s="14">
        <v>122</v>
      </c>
      <c r="AC109" s="14"/>
      <c r="AD109" s="14"/>
      <c r="AE109" s="14">
        <v>525</v>
      </c>
      <c r="AF109" s="14">
        <v>313</v>
      </c>
      <c r="AG109" s="14">
        <v>88</v>
      </c>
      <c r="AH109" s="14">
        <v>81</v>
      </c>
      <c r="AI109" s="14">
        <v>578</v>
      </c>
      <c r="AJ109" s="14">
        <v>60</v>
      </c>
      <c r="AK109" s="14">
        <v>3</v>
      </c>
      <c r="AL109" s="14">
        <v>1904</v>
      </c>
      <c r="AM109" s="14">
        <v>75</v>
      </c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1:56" hidden="1" x14ac:dyDescent="0.25">
      <c r="A110" s="45" t="s">
        <v>49</v>
      </c>
      <c r="B110" s="46">
        <v>10</v>
      </c>
      <c r="C110" s="45" t="s">
        <v>62</v>
      </c>
      <c r="D110" s="45" t="s">
        <v>9</v>
      </c>
      <c r="E110" s="45" t="s">
        <v>90</v>
      </c>
      <c r="F110" s="45">
        <v>2015</v>
      </c>
      <c r="G110" s="14">
        <v>2338</v>
      </c>
      <c r="H110" s="14">
        <v>936</v>
      </c>
      <c r="I110" s="14">
        <v>1402</v>
      </c>
      <c r="J110" s="14">
        <v>28058</v>
      </c>
      <c r="K110" s="14">
        <v>45</v>
      </c>
      <c r="L110" s="14">
        <v>13</v>
      </c>
      <c r="M110" s="14">
        <v>11</v>
      </c>
      <c r="N110" s="14">
        <v>1840</v>
      </c>
      <c r="O110" s="14">
        <v>103820.46888724105</v>
      </c>
      <c r="P110" s="14">
        <v>1091</v>
      </c>
      <c r="Q110" s="14">
        <v>2483</v>
      </c>
      <c r="R110" s="14">
        <v>483</v>
      </c>
      <c r="S110" s="14">
        <v>1241</v>
      </c>
      <c r="T110" s="14"/>
      <c r="U110" s="14"/>
      <c r="V110" s="14">
        <v>1103</v>
      </c>
      <c r="W110" s="14">
        <v>435</v>
      </c>
      <c r="X110" s="14">
        <v>423</v>
      </c>
      <c r="Y110" s="14">
        <v>299</v>
      </c>
      <c r="Z110" s="14">
        <v>2338</v>
      </c>
      <c r="AA110" s="14">
        <v>35482547</v>
      </c>
      <c r="AB110" s="14">
        <v>159</v>
      </c>
      <c r="AC110" s="14"/>
      <c r="AD110" s="14"/>
      <c r="AE110" s="14">
        <v>210</v>
      </c>
      <c r="AF110" s="14">
        <v>248</v>
      </c>
      <c r="AG110" s="14">
        <v>98</v>
      </c>
      <c r="AH110" s="14">
        <v>78</v>
      </c>
      <c r="AI110" s="14">
        <v>717</v>
      </c>
      <c r="AJ110" s="14">
        <v>166</v>
      </c>
      <c r="AK110" s="14">
        <v>1</v>
      </c>
      <c r="AL110" s="14">
        <v>741.14599999999996</v>
      </c>
      <c r="AM110" s="14">
        <v>71</v>
      </c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1:56" hidden="1" x14ac:dyDescent="0.25">
      <c r="A111" s="45" t="s">
        <v>49</v>
      </c>
      <c r="B111" s="46">
        <v>11</v>
      </c>
      <c r="C111" s="45" t="s">
        <v>63</v>
      </c>
      <c r="D111" s="45" t="s">
        <v>10</v>
      </c>
      <c r="E111" s="45" t="s">
        <v>90</v>
      </c>
      <c r="F111" s="45">
        <v>2015</v>
      </c>
      <c r="G111" s="14">
        <v>17490</v>
      </c>
      <c r="H111" s="14">
        <v>6444</v>
      </c>
      <c r="I111" s="14">
        <v>11046</v>
      </c>
      <c r="J111" s="14">
        <v>99912</v>
      </c>
      <c r="K111" s="14">
        <v>238</v>
      </c>
      <c r="L111" s="14">
        <v>56</v>
      </c>
      <c r="M111" s="14">
        <v>70</v>
      </c>
      <c r="N111" s="14">
        <v>13758</v>
      </c>
      <c r="O111" s="14">
        <v>346948.29293777305</v>
      </c>
      <c r="P111" s="14">
        <v>10759</v>
      </c>
      <c r="Q111" s="14">
        <v>17733</v>
      </c>
      <c r="R111" s="14">
        <v>4552</v>
      </c>
      <c r="S111" s="14">
        <v>6713</v>
      </c>
      <c r="T111" s="14"/>
      <c r="U111" s="14"/>
      <c r="V111" s="14">
        <v>6684</v>
      </c>
      <c r="W111" s="14">
        <v>4179</v>
      </c>
      <c r="X111" s="14">
        <v>3874</v>
      </c>
      <c r="Y111" s="14">
        <v>3774</v>
      </c>
      <c r="Z111" s="14">
        <v>17490</v>
      </c>
      <c r="AA111" s="14">
        <v>213348943</v>
      </c>
      <c r="AB111" s="14">
        <v>901</v>
      </c>
      <c r="AC111" s="14"/>
      <c r="AD111" s="14"/>
      <c r="AE111" s="14">
        <v>935</v>
      </c>
      <c r="AF111" s="14">
        <v>1959</v>
      </c>
      <c r="AG111" s="14">
        <v>491</v>
      </c>
      <c r="AH111" s="14">
        <v>445</v>
      </c>
      <c r="AI111" s="14">
        <v>30302</v>
      </c>
      <c r="AJ111" s="14">
        <v>765</v>
      </c>
      <c r="AK111" s="14">
        <v>14</v>
      </c>
      <c r="AL111" s="14">
        <v>16125.78</v>
      </c>
      <c r="AM111" s="14">
        <v>8014</v>
      </c>
      <c r="AN111" s="14">
        <v>9386</v>
      </c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idden="1" x14ac:dyDescent="0.25">
      <c r="A112" s="45" t="s">
        <v>49</v>
      </c>
      <c r="B112" s="46">
        <v>12</v>
      </c>
      <c r="C112" s="45" t="s">
        <v>64</v>
      </c>
      <c r="D112" s="45" t="s">
        <v>11</v>
      </c>
      <c r="E112" s="45" t="s">
        <v>90</v>
      </c>
      <c r="F112" s="45">
        <v>2015</v>
      </c>
      <c r="G112" s="14">
        <v>6612</v>
      </c>
      <c r="H112" s="14">
        <v>2626</v>
      </c>
      <c r="I112" s="14">
        <v>3986</v>
      </c>
      <c r="J112" s="14">
        <v>62910</v>
      </c>
      <c r="K112" s="14">
        <v>123</v>
      </c>
      <c r="L112" s="14">
        <v>24</v>
      </c>
      <c r="M112" s="14">
        <v>42</v>
      </c>
      <c r="N112" s="14">
        <v>5150</v>
      </c>
      <c r="O112" s="14">
        <v>226435.10807310266</v>
      </c>
      <c r="P112" s="14">
        <v>3474</v>
      </c>
      <c r="Q112" s="14">
        <v>6743</v>
      </c>
      <c r="R112" s="14">
        <v>1638</v>
      </c>
      <c r="S112" s="14">
        <v>3390</v>
      </c>
      <c r="T112" s="14"/>
      <c r="U112" s="14"/>
      <c r="V112" s="14">
        <v>2844</v>
      </c>
      <c r="W112" s="14">
        <v>1457</v>
      </c>
      <c r="X112" s="14">
        <v>1482</v>
      </c>
      <c r="Y112" s="14">
        <v>1088</v>
      </c>
      <c r="Z112" s="14">
        <v>6612</v>
      </c>
      <c r="AA112" s="14">
        <v>116346947</v>
      </c>
      <c r="AB112" s="14">
        <v>307</v>
      </c>
      <c r="AC112" s="14"/>
      <c r="AD112" s="14"/>
      <c r="AE112" s="14">
        <v>444</v>
      </c>
      <c r="AF112" s="14">
        <v>554</v>
      </c>
      <c r="AG112" s="14">
        <v>224</v>
      </c>
      <c r="AH112" s="14">
        <v>232</v>
      </c>
      <c r="AI112" s="14">
        <v>1571</v>
      </c>
      <c r="AJ112" s="14">
        <v>1186</v>
      </c>
      <c r="AK112" s="14" t="s">
        <v>2</v>
      </c>
      <c r="AL112" s="14">
        <v>2664.636</v>
      </c>
      <c r="AM112" s="14">
        <v>1462</v>
      </c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1:56" hidden="1" x14ac:dyDescent="0.25">
      <c r="A113" s="45" t="s">
        <v>49</v>
      </c>
      <c r="B113" s="46">
        <v>13</v>
      </c>
      <c r="C113" s="45" t="s">
        <v>65</v>
      </c>
      <c r="D113" s="45" t="s">
        <v>12</v>
      </c>
      <c r="E113" s="45" t="s">
        <v>90</v>
      </c>
      <c r="F113" s="45">
        <v>2015</v>
      </c>
      <c r="G113" s="14">
        <v>3713</v>
      </c>
      <c r="H113" s="14">
        <v>1678</v>
      </c>
      <c r="I113" s="14">
        <v>2035</v>
      </c>
      <c r="J113" s="14">
        <v>52292</v>
      </c>
      <c r="K113" s="14">
        <v>65</v>
      </c>
      <c r="L113" s="14">
        <v>23</v>
      </c>
      <c r="M113" s="14">
        <v>28</v>
      </c>
      <c r="N113" s="14">
        <v>3104</v>
      </c>
      <c r="O113" s="14">
        <v>160411.42558593757</v>
      </c>
      <c r="P113" s="14">
        <v>1972</v>
      </c>
      <c r="Q113" s="14">
        <v>3498</v>
      </c>
      <c r="R113" s="14">
        <v>865</v>
      </c>
      <c r="S113" s="14">
        <v>1543</v>
      </c>
      <c r="T113" s="14"/>
      <c r="U113" s="14"/>
      <c r="V113" s="14">
        <v>1523</v>
      </c>
      <c r="W113" s="14">
        <v>691</v>
      </c>
      <c r="X113" s="14">
        <v>754</v>
      </c>
      <c r="Y113" s="14">
        <v>745</v>
      </c>
      <c r="Z113" s="14">
        <v>3713</v>
      </c>
      <c r="AA113" s="14">
        <v>55787690</v>
      </c>
      <c r="AB113" s="14">
        <v>220</v>
      </c>
      <c r="AC113" s="14"/>
      <c r="AD113" s="14"/>
      <c r="AE113" s="14">
        <v>318</v>
      </c>
      <c r="AF113" s="14">
        <v>415</v>
      </c>
      <c r="AG113" s="14">
        <v>101</v>
      </c>
      <c r="AH113" s="14">
        <v>168</v>
      </c>
      <c r="AI113" s="14">
        <v>599</v>
      </c>
      <c r="AJ113" s="14">
        <v>287</v>
      </c>
      <c r="AK113" s="14" t="s">
        <v>2</v>
      </c>
      <c r="AL113" s="14">
        <v>2339.19</v>
      </c>
      <c r="AM113" s="14">
        <v>274</v>
      </c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1:56" hidden="1" x14ac:dyDescent="0.25">
      <c r="A114" s="45" t="s">
        <v>49</v>
      </c>
      <c r="B114" s="46">
        <v>14</v>
      </c>
      <c r="C114" s="45" t="s">
        <v>66</v>
      </c>
      <c r="D114" s="45" t="s">
        <v>13</v>
      </c>
      <c r="E114" s="45" t="s">
        <v>90</v>
      </c>
      <c r="F114" s="45">
        <v>2015</v>
      </c>
      <c r="G114" s="14">
        <v>14614</v>
      </c>
      <c r="H114" s="14">
        <v>5953</v>
      </c>
      <c r="I114" s="14">
        <v>8661</v>
      </c>
      <c r="J114" s="14">
        <v>134984</v>
      </c>
      <c r="K114" s="14">
        <v>255</v>
      </c>
      <c r="L114" s="14">
        <v>32</v>
      </c>
      <c r="M114" s="14">
        <v>78</v>
      </c>
      <c r="N114" s="14">
        <v>11091</v>
      </c>
      <c r="O114" s="14">
        <v>434574.23822360497</v>
      </c>
      <c r="P114" s="14">
        <v>6291</v>
      </c>
      <c r="Q114" s="14">
        <v>14848</v>
      </c>
      <c r="R114" s="14">
        <v>3414</v>
      </c>
      <c r="S114" s="14">
        <v>6135</v>
      </c>
      <c r="T114" s="14"/>
      <c r="U114" s="14"/>
      <c r="V114" s="14">
        <v>5963</v>
      </c>
      <c r="W114" s="14">
        <v>3081</v>
      </c>
      <c r="X114" s="14">
        <v>3107</v>
      </c>
      <c r="Y114" s="14">
        <v>2898</v>
      </c>
      <c r="Z114" s="14">
        <v>14614</v>
      </c>
      <c r="AA114" s="14">
        <v>226341467</v>
      </c>
      <c r="AB114" s="14">
        <v>880</v>
      </c>
      <c r="AC114" s="14"/>
      <c r="AD114" s="14"/>
      <c r="AE114" s="14">
        <v>862</v>
      </c>
      <c r="AF114" s="14">
        <v>2137</v>
      </c>
      <c r="AG114" s="14">
        <v>430</v>
      </c>
      <c r="AH114" s="14">
        <v>503</v>
      </c>
      <c r="AI114" s="14">
        <v>4643</v>
      </c>
      <c r="AJ114" s="14">
        <v>606</v>
      </c>
      <c r="AK114" s="14">
        <v>15</v>
      </c>
      <c r="AL114" s="14">
        <v>14087.896000000001</v>
      </c>
      <c r="AM114" s="14">
        <v>463</v>
      </c>
      <c r="AN114" s="14">
        <v>446</v>
      </c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hidden="1" x14ac:dyDescent="0.25">
      <c r="A115" s="45" t="s">
        <v>49</v>
      </c>
      <c r="B115" s="46">
        <v>15</v>
      </c>
      <c r="C115" s="45" t="s">
        <v>67</v>
      </c>
      <c r="D115" s="45" t="s">
        <v>14</v>
      </c>
      <c r="E115" s="45" t="s">
        <v>90</v>
      </c>
      <c r="F115" s="45">
        <v>2015</v>
      </c>
      <c r="G115" s="14">
        <v>47574</v>
      </c>
      <c r="H115" s="14">
        <v>20621</v>
      </c>
      <c r="I115" s="14">
        <v>26953</v>
      </c>
      <c r="J115" s="14">
        <v>278453</v>
      </c>
      <c r="K115" s="14">
        <v>741</v>
      </c>
      <c r="L115" s="14">
        <v>142</v>
      </c>
      <c r="M115" s="14">
        <v>214</v>
      </c>
      <c r="N115" s="14">
        <v>39966</v>
      </c>
      <c r="O115" s="14">
        <v>911712.24742897251</v>
      </c>
      <c r="P115" s="14">
        <v>20736</v>
      </c>
      <c r="Q115" s="14">
        <v>46706</v>
      </c>
      <c r="R115" s="14">
        <v>10258</v>
      </c>
      <c r="S115" s="14">
        <v>19423</v>
      </c>
      <c r="T115" s="14"/>
      <c r="U115" s="14"/>
      <c r="V115" s="14">
        <v>19660</v>
      </c>
      <c r="W115" s="14">
        <v>8432</v>
      </c>
      <c r="X115" s="14">
        <v>8724</v>
      </c>
      <c r="Y115" s="14">
        <v>7492</v>
      </c>
      <c r="Z115" s="14">
        <v>47574</v>
      </c>
      <c r="AA115" s="14">
        <v>657722639</v>
      </c>
      <c r="AB115" s="14">
        <v>2293</v>
      </c>
      <c r="AC115" s="14"/>
      <c r="AD115" s="14"/>
      <c r="AE115" s="14">
        <v>2099</v>
      </c>
      <c r="AF115" s="14">
        <v>3926</v>
      </c>
      <c r="AG115" s="14">
        <v>1184</v>
      </c>
      <c r="AH115" s="14">
        <v>1300</v>
      </c>
      <c r="AI115" s="14">
        <v>17410</v>
      </c>
      <c r="AJ115" s="14">
        <v>909</v>
      </c>
      <c r="AK115" s="14">
        <v>39</v>
      </c>
      <c r="AL115" s="14">
        <v>47574</v>
      </c>
      <c r="AM115" s="14">
        <v>6308</v>
      </c>
      <c r="AN115" s="14">
        <v>801</v>
      </c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1:56" hidden="1" x14ac:dyDescent="0.25">
      <c r="A116" s="45" t="s">
        <v>49</v>
      </c>
      <c r="B116" s="46">
        <v>16</v>
      </c>
      <c r="C116" s="45" t="s">
        <v>68</v>
      </c>
      <c r="D116" s="45" t="s">
        <v>30</v>
      </c>
      <c r="E116" s="45" t="s">
        <v>90</v>
      </c>
      <c r="F116" s="45">
        <v>2015</v>
      </c>
      <c r="G116" s="14">
        <v>11182</v>
      </c>
      <c r="H116" s="14">
        <v>4395</v>
      </c>
      <c r="I116" s="14">
        <v>6787</v>
      </c>
      <c r="J116" s="14">
        <v>69610</v>
      </c>
      <c r="K116" s="14">
        <v>226</v>
      </c>
      <c r="L116" s="14">
        <v>41</v>
      </c>
      <c r="M116" s="14">
        <v>63</v>
      </c>
      <c r="N116" s="14">
        <v>8902</v>
      </c>
      <c r="O116" s="14">
        <v>263050.95224898576</v>
      </c>
      <c r="P116" s="14">
        <v>5762</v>
      </c>
      <c r="Q116" s="14">
        <v>11679</v>
      </c>
      <c r="R116" s="14">
        <v>3026</v>
      </c>
      <c r="S116" s="14">
        <v>2991</v>
      </c>
      <c r="T116" s="14"/>
      <c r="U116" s="14"/>
      <c r="V116" s="14">
        <v>5099</v>
      </c>
      <c r="W116" s="14">
        <v>2482</v>
      </c>
      <c r="X116" s="14">
        <v>2342</v>
      </c>
      <c r="Y116" s="14">
        <v>2059</v>
      </c>
      <c r="Z116" s="14">
        <v>11182</v>
      </c>
      <c r="AA116" s="14">
        <v>180418872</v>
      </c>
      <c r="AB116" s="14">
        <v>466</v>
      </c>
      <c r="AC116" s="14"/>
      <c r="AD116" s="14"/>
      <c r="AE116" s="14">
        <v>636</v>
      </c>
      <c r="AF116" s="14">
        <v>1093</v>
      </c>
      <c r="AG116" s="14">
        <v>282</v>
      </c>
      <c r="AH116" s="14">
        <v>355</v>
      </c>
      <c r="AI116" s="14">
        <v>1758</v>
      </c>
      <c r="AJ116" s="14">
        <v>486</v>
      </c>
      <c r="AK116" s="14" t="s">
        <v>2</v>
      </c>
      <c r="AL116" s="14">
        <v>2996.7760000000003</v>
      </c>
      <c r="AM116" s="14">
        <v>5</v>
      </c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1:56" hidden="1" x14ac:dyDescent="0.25">
      <c r="A117" s="45" t="s">
        <v>49</v>
      </c>
      <c r="B117" s="46">
        <v>17</v>
      </c>
      <c r="C117" s="45" t="s">
        <v>69</v>
      </c>
      <c r="D117" s="45" t="s">
        <v>15</v>
      </c>
      <c r="E117" s="45" t="s">
        <v>90</v>
      </c>
      <c r="F117" s="45">
        <v>2015</v>
      </c>
      <c r="G117" s="14">
        <v>4599</v>
      </c>
      <c r="H117" s="14">
        <v>1929</v>
      </c>
      <c r="I117" s="14">
        <v>2670</v>
      </c>
      <c r="J117" s="14">
        <v>32523</v>
      </c>
      <c r="K117" s="14">
        <v>68</v>
      </c>
      <c r="L117" s="14">
        <v>19</v>
      </c>
      <c r="M117" s="14">
        <v>13</v>
      </c>
      <c r="N117" s="14">
        <v>3728</v>
      </c>
      <c r="O117" s="14">
        <v>102703.04808293736</v>
      </c>
      <c r="P117" s="14">
        <v>2428</v>
      </c>
      <c r="Q117" s="14">
        <v>4787</v>
      </c>
      <c r="R117" s="14">
        <v>1255</v>
      </c>
      <c r="S117" s="14">
        <v>1698</v>
      </c>
      <c r="T117" s="14"/>
      <c r="U117" s="14"/>
      <c r="V117" s="14">
        <v>2002</v>
      </c>
      <c r="W117" s="14">
        <v>1130</v>
      </c>
      <c r="X117" s="14">
        <v>1119</v>
      </c>
      <c r="Y117" s="14">
        <v>1008</v>
      </c>
      <c r="Z117" s="14">
        <v>4599</v>
      </c>
      <c r="AA117" s="14">
        <v>61327462</v>
      </c>
      <c r="AB117" s="14">
        <v>245</v>
      </c>
      <c r="AC117" s="14"/>
      <c r="AD117" s="14"/>
      <c r="AE117" s="14">
        <v>29</v>
      </c>
      <c r="AF117" s="14">
        <v>592</v>
      </c>
      <c r="AG117" s="14">
        <v>123</v>
      </c>
      <c r="AH117" s="14">
        <v>136</v>
      </c>
      <c r="AI117" s="14">
        <v>3377</v>
      </c>
      <c r="AJ117" s="14">
        <v>512</v>
      </c>
      <c r="AK117" s="14">
        <v>5</v>
      </c>
      <c r="AL117" s="14">
        <v>4599</v>
      </c>
      <c r="AM117" s="14">
        <v>1995</v>
      </c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</row>
    <row r="118" spans="1:56" hidden="1" x14ac:dyDescent="0.25">
      <c r="A118" s="45" t="s">
        <v>49</v>
      </c>
      <c r="B118" s="46">
        <v>18</v>
      </c>
      <c r="C118" s="45" t="s">
        <v>70</v>
      </c>
      <c r="D118" s="45" t="s">
        <v>16</v>
      </c>
      <c r="E118" s="45" t="s">
        <v>90</v>
      </c>
      <c r="F118" s="45">
        <v>2015</v>
      </c>
      <c r="G118" s="14">
        <v>3019</v>
      </c>
      <c r="H118" s="14">
        <v>1264</v>
      </c>
      <c r="I118" s="14">
        <v>1755</v>
      </c>
      <c r="J118" s="14">
        <v>20436</v>
      </c>
      <c r="K118" s="14">
        <v>54</v>
      </c>
      <c r="L118" s="14">
        <v>8</v>
      </c>
      <c r="M118" s="14">
        <v>9</v>
      </c>
      <c r="N118" s="14">
        <v>2603</v>
      </c>
      <c r="O118" s="14">
        <v>66019.247600487812</v>
      </c>
      <c r="P118" s="14">
        <v>1486</v>
      </c>
      <c r="Q118" s="14">
        <v>2901</v>
      </c>
      <c r="R118" s="14">
        <v>683</v>
      </c>
      <c r="S118" s="14">
        <v>1506</v>
      </c>
      <c r="T118" s="14"/>
      <c r="U118" s="14"/>
      <c r="V118" s="14">
        <v>1267</v>
      </c>
      <c r="W118" s="14">
        <v>620</v>
      </c>
      <c r="X118" s="14">
        <v>587</v>
      </c>
      <c r="Y118" s="14">
        <v>579</v>
      </c>
      <c r="Z118" s="14">
        <v>3019</v>
      </c>
      <c r="AA118" s="14">
        <v>45890293</v>
      </c>
      <c r="AB118" s="14">
        <v>124</v>
      </c>
      <c r="AC118" s="14"/>
      <c r="AD118" s="14"/>
      <c r="AE118" s="14">
        <v>354</v>
      </c>
      <c r="AF118" s="14">
        <v>399</v>
      </c>
      <c r="AG118" s="14">
        <v>93</v>
      </c>
      <c r="AH118" s="14">
        <v>131</v>
      </c>
      <c r="AI118" s="14">
        <v>289</v>
      </c>
      <c r="AJ118" s="14">
        <v>70</v>
      </c>
      <c r="AK118" s="14" t="s">
        <v>2</v>
      </c>
      <c r="AL118" s="14">
        <v>0</v>
      </c>
      <c r="AM118" s="14">
        <v>0</v>
      </c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1:56" hidden="1" x14ac:dyDescent="0.25">
      <c r="A119" s="45" t="s">
        <v>49</v>
      </c>
      <c r="B119" s="46">
        <v>19</v>
      </c>
      <c r="C119" s="45" t="s">
        <v>71</v>
      </c>
      <c r="D119" s="45" t="s">
        <v>17</v>
      </c>
      <c r="E119" s="45" t="s">
        <v>90</v>
      </c>
      <c r="F119" s="45">
        <v>2015</v>
      </c>
      <c r="G119" s="14">
        <v>18667</v>
      </c>
      <c r="H119" s="14">
        <v>8223</v>
      </c>
      <c r="I119" s="14">
        <v>10444</v>
      </c>
      <c r="J119" s="14">
        <v>83352</v>
      </c>
      <c r="K119" s="14">
        <v>250</v>
      </c>
      <c r="L119" s="14">
        <v>52</v>
      </c>
      <c r="M119" s="14">
        <v>80</v>
      </c>
      <c r="N119" s="14">
        <v>14736</v>
      </c>
      <c r="O119" s="14">
        <v>262574.27570966166</v>
      </c>
      <c r="P119" s="14">
        <v>11124</v>
      </c>
      <c r="Q119" s="14">
        <v>17771</v>
      </c>
      <c r="R119" s="14">
        <v>4210</v>
      </c>
      <c r="S119" s="14">
        <v>5532</v>
      </c>
      <c r="T119" s="14"/>
      <c r="U119" s="14"/>
      <c r="V119" s="14">
        <v>7296</v>
      </c>
      <c r="W119" s="14">
        <v>3797</v>
      </c>
      <c r="X119" s="14">
        <v>3522</v>
      </c>
      <c r="Y119" s="14">
        <v>3440</v>
      </c>
      <c r="Z119" s="14">
        <v>18667</v>
      </c>
      <c r="AA119" s="14">
        <v>190850231</v>
      </c>
      <c r="AB119" s="14">
        <v>897</v>
      </c>
      <c r="AC119" s="14"/>
      <c r="AD119" s="14"/>
      <c r="AE119" s="14">
        <v>951</v>
      </c>
      <c r="AF119" s="14">
        <v>1734</v>
      </c>
      <c r="AG119" s="14">
        <v>337</v>
      </c>
      <c r="AH119" s="14">
        <v>355</v>
      </c>
      <c r="AI119" s="14">
        <v>32438</v>
      </c>
      <c r="AJ119" s="14">
        <v>1969</v>
      </c>
      <c r="AK119" s="14">
        <v>4</v>
      </c>
      <c r="AL119" s="14">
        <v>13365.572</v>
      </c>
      <c r="AM119" s="14">
        <v>35553</v>
      </c>
      <c r="AN119" s="14">
        <v>1193</v>
      </c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1:56" hidden="1" x14ac:dyDescent="0.25">
      <c r="A120" s="45" t="s">
        <v>50</v>
      </c>
      <c r="B120" s="46">
        <v>20</v>
      </c>
      <c r="C120" s="45" t="s">
        <v>85</v>
      </c>
      <c r="D120" s="45" t="s">
        <v>28</v>
      </c>
      <c r="E120" s="45" t="s">
        <v>90</v>
      </c>
      <c r="F120" s="45">
        <v>2015</v>
      </c>
      <c r="G120" s="14">
        <v>6301</v>
      </c>
      <c r="H120" s="14">
        <v>2568</v>
      </c>
      <c r="I120" s="14">
        <v>3733</v>
      </c>
      <c r="J120" s="14">
        <v>64304</v>
      </c>
      <c r="K120" s="14">
        <v>107</v>
      </c>
      <c r="L120" s="14">
        <v>12</v>
      </c>
      <c r="M120" s="14">
        <v>33</v>
      </c>
      <c r="N120" s="14">
        <v>5010</v>
      </c>
      <c r="O120" s="14">
        <v>241009.03331680052</v>
      </c>
      <c r="P120" s="14">
        <v>3238</v>
      </c>
      <c r="Q120" s="14">
        <v>6254</v>
      </c>
      <c r="R120" s="14">
        <v>1508</v>
      </c>
      <c r="S120" s="14">
        <v>2768</v>
      </c>
      <c r="T120" s="14"/>
      <c r="U120" s="14"/>
      <c r="V120" s="14">
        <v>2691</v>
      </c>
      <c r="W120" s="14">
        <v>1316</v>
      </c>
      <c r="X120" s="14">
        <v>1369</v>
      </c>
      <c r="Y120" s="14">
        <v>890</v>
      </c>
      <c r="Z120" s="14"/>
      <c r="AA120" s="14"/>
      <c r="AB120" s="14">
        <v>366</v>
      </c>
      <c r="AC120" s="14"/>
      <c r="AD120" s="14"/>
      <c r="AE120" s="14">
        <v>772</v>
      </c>
      <c r="AF120" s="14">
        <v>530</v>
      </c>
      <c r="AG120" s="14">
        <v>139</v>
      </c>
      <c r="AH120" s="14">
        <v>196</v>
      </c>
      <c r="AI120" s="14">
        <v>2327</v>
      </c>
      <c r="AJ120" s="14">
        <v>35</v>
      </c>
      <c r="AK120" s="14">
        <v>1</v>
      </c>
      <c r="AL120" s="14">
        <v>2016.32</v>
      </c>
      <c r="AM120" s="14">
        <v>602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1:56" hidden="1" x14ac:dyDescent="0.25">
      <c r="A121" s="45" t="s">
        <v>49</v>
      </c>
      <c r="B121" s="46">
        <v>21</v>
      </c>
      <c r="C121" s="45" t="s">
        <v>72</v>
      </c>
      <c r="D121" s="45" t="s">
        <v>18</v>
      </c>
      <c r="E121" s="45" t="s">
        <v>90</v>
      </c>
      <c r="F121" s="45">
        <v>2015</v>
      </c>
      <c r="G121" s="14">
        <v>7128</v>
      </c>
      <c r="H121" s="14">
        <v>2822</v>
      </c>
      <c r="I121" s="14">
        <v>4306</v>
      </c>
      <c r="J121" s="14">
        <v>109274</v>
      </c>
      <c r="K121" s="14">
        <v>144</v>
      </c>
      <c r="L121" s="14">
        <v>36</v>
      </c>
      <c r="M121" s="14">
        <v>56</v>
      </c>
      <c r="N121" s="14">
        <v>5868</v>
      </c>
      <c r="O121" s="14">
        <v>367000.54615377309</v>
      </c>
      <c r="P121" s="14">
        <v>3986</v>
      </c>
      <c r="Q121" s="14">
        <v>7170</v>
      </c>
      <c r="R121" s="14">
        <v>1873</v>
      </c>
      <c r="S121" s="14">
        <v>1709</v>
      </c>
      <c r="T121" s="14"/>
      <c r="U121" s="14"/>
      <c r="V121" s="14">
        <v>2816</v>
      </c>
      <c r="W121" s="14">
        <v>1602</v>
      </c>
      <c r="X121" s="14">
        <v>1712</v>
      </c>
      <c r="Y121" s="14">
        <v>1639</v>
      </c>
      <c r="Z121" s="14">
        <v>7128</v>
      </c>
      <c r="AA121" s="14">
        <v>130865900</v>
      </c>
      <c r="AB121" s="14">
        <v>402</v>
      </c>
      <c r="AC121" s="14"/>
      <c r="AD121" s="14"/>
      <c r="AE121" s="14">
        <v>543</v>
      </c>
      <c r="AF121" s="14">
        <v>898</v>
      </c>
      <c r="AG121" s="14">
        <v>235</v>
      </c>
      <c r="AH121" s="14">
        <v>262</v>
      </c>
      <c r="AI121" s="14">
        <v>2966</v>
      </c>
      <c r="AJ121" s="14">
        <v>173</v>
      </c>
      <c r="AK121" s="14">
        <v>10</v>
      </c>
      <c r="AL121" s="14">
        <v>7128</v>
      </c>
      <c r="AM121" s="14">
        <v>3057</v>
      </c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1:56" hidden="1" x14ac:dyDescent="0.25">
      <c r="A122" s="45" t="s">
        <v>49</v>
      </c>
      <c r="B122" s="46">
        <v>22</v>
      </c>
      <c r="C122" s="45" t="s">
        <v>73</v>
      </c>
      <c r="D122" s="45" t="s">
        <v>29</v>
      </c>
      <c r="E122" s="45" t="s">
        <v>90</v>
      </c>
      <c r="F122" s="45">
        <v>2015</v>
      </c>
      <c r="G122" s="14">
        <v>3482</v>
      </c>
      <c r="H122" s="14">
        <v>1374</v>
      </c>
      <c r="I122" s="14">
        <v>2108</v>
      </c>
      <c r="J122" s="14">
        <v>32682</v>
      </c>
      <c r="K122" s="14">
        <v>55</v>
      </c>
      <c r="L122" s="14">
        <v>13</v>
      </c>
      <c r="M122" s="14">
        <v>29</v>
      </c>
      <c r="N122" s="14">
        <v>2775</v>
      </c>
      <c r="O122" s="14">
        <v>113446.37951932651</v>
      </c>
      <c r="P122" s="14">
        <v>2270</v>
      </c>
      <c r="Q122" s="14">
        <v>3442</v>
      </c>
      <c r="R122" s="14">
        <v>768</v>
      </c>
      <c r="S122" s="14">
        <v>2045</v>
      </c>
      <c r="T122" s="14"/>
      <c r="U122" s="14"/>
      <c r="V122" s="14">
        <v>1219</v>
      </c>
      <c r="W122" s="14">
        <v>715</v>
      </c>
      <c r="X122" s="14">
        <v>716</v>
      </c>
      <c r="Y122" s="14">
        <v>646</v>
      </c>
      <c r="Z122" s="14">
        <v>3482</v>
      </c>
      <c r="AA122" s="14">
        <v>40331193</v>
      </c>
      <c r="AB122" s="14">
        <v>267</v>
      </c>
      <c r="AC122" s="14"/>
      <c r="AD122" s="14"/>
      <c r="AE122" s="14">
        <v>346</v>
      </c>
      <c r="AF122" s="14">
        <v>357</v>
      </c>
      <c r="AG122" s="14">
        <v>78</v>
      </c>
      <c r="AH122" s="14">
        <v>107</v>
      </c>
      <c r="AI122" s="14">
        <v>297</v>
      </c>
      <c r="AJ122" s="14">
        <v>49</v>
      </c>
      <c r="AK122" s="14">
        <v>2</v>
      </c>
      <c r="AL122" s="14">
        <v>1469.4040000000002</v>
      </c>
      <c r="AM122" s="14">
        <v>47</v>
      </c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1:56" hidden="1" x14ac:dyDescent="0.25">
      <c r="A123" s="45" t="s">
        <v>49</v>
      </c>
      <c r="B123" s="46">
        <v>23</v>
      </c>
      <c r="C123" s="45" t="s">
        <v>74</v>
      </c>
      <c r="D123" s="45" t="s">
        <v>19</v>
      </c>
      <c r="E123" s="45" t="s">
        <v>90</v>
      </c>
      <c r="F123" s="45">
        <v>2015</v>
      </c>
      <c r="G123" s="14">
        <v>8052</v>
      </c>
      <c r="H123" s="14">
        <v>3286</v>
      </c>
      <c r="I123" s="14">
        <v>4766</v>
      </c>
      <c r="J123" s="14">
        <v>21186</v>
      </c>
      <c r="K123" s="14">
        <v>104</v>
      </c>
      <c r="L123" s="14">
        <v>18</v>
      </c>
      <c r="M123" s="14">
        <v>29</v>
      </c>
      <c r="N123" s="14">
        <v>6335</v>
      </c>
      <c r="O123" s="14">
        <v>82157.314791918063</v>
      </c>
      <c r="P123" s="14">
        <v>3800</v>
      </c>
      <c r="Q123" s="14">
        <v>8119</v>
      </c>
      <c r="R123" s="14">
        <v>2352</v>
      </c>
      <c r="S123" s="14">
        <v>4705</v>
      </c>
      <c r="T123" s="14"/>
      <c r="U123" s="14"/>
      <c r="V123" s="14">
        <v>3687</v>
      </c>
      <c r="W123" s="14">
        <v>2146</v>
      </c>
      <c r="X123" s="14">
        <v>1843</v>
      </c>
      <c r="Y123" s="14">
        <v>1734</v>
      </c>
      <c r="Z123" s="14">
        <v>8052</v>
      </c>
      <c r="AA123" s="14">
        <v>87582707</v>
      </c>
      <c r="AB123" s="14">
        <v>405</v>
      </c>
      <c r="AC123" s="14"/>
      <c r="AD123" s="14"/>
      <c r="AE123" s="14">
        <v>457.99999999999994</v>
      </c>
      <c r="AF123" s="14">
        <v>751</v>
      </c>
      <c r="AG123" s="14">
        <v>238</v>
      </c>
      <c r="AH123" s="14">
        <v>259</v>
      </c>
      <c r="AI123" s="14">
        <v>140</v>
      </c>
      <c r="AJ123" s="14">
        <v>56</v>
      </c>
      <c r="AK123" s="14">
        <v>4</v>
      </c>
      <c r="AL123" s="14">
        <v>8052</v>
      </c>
      <c r="AM123" s="14">
        <v>257</v>
      </c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1:56" hidden="1" x14ac:dyDescent="0.25">
      <c r="A124" s="45" t="s">
        <v>49</v>
      </c>
      <c r="B124" s="46">
        <v>24</v>
      </c>
      <c r="C124" s="45" t="s">
        <v>75</v>
      </c>
      <c r="D124" s="45" t="s">
        <v>20</v>
      </c>
      <c r="E124" s="45" t="s">
        <v>90</v>
      </c>
      <c r="F124" s="45">
        <v>2015</v>
      </c>
      <c r="G124" s="14">
        <v>5220</v>
      </c>
      <c r="H124" s="14">
        <v>2258</v>
      </c>
      <c r="I124" s="14">
        <v>2962</v>
      </c>
      <c r="J124" s="14">
        <v>48979</v>
      </c>
      <c r="K124" s="14">
        <v>85</v>
      </c>
      <c r="L124" s="14">
        <v>25</v>
      </c>
      <c r="M124" s="14">
        <v>28</v>
      </c>
      <c r="N124" s="14">
        <v>4052</v>
      </c>
      <c r="O124" s="14">
        <v>161315.89873923562</v>
      </c>
      <c r="P124" s="14">
        <v>2783</v>
      </c>
      <c r="Q124" s="14">
        <v>5248</v>
      </c>
      <c r="R124" s="14">
        <v>1240</v>
      </c>
      <c r="S124" s="14">
        <v>2937</v>
      </c>
      <c r="T124" s="14"/>
      <c r="U124" s="14"/>
      <c r="V124" s="14">
        <v>2196</v>
      </c>
      <c r="W124" s="14">
        <v>1065</v>
      </c>
      <c r="X124" s="14">
        <v>1075</v>
      </c>
      <c r="Y124" s="14">
        <v>1011</v>
      </c>
      <c r="Z124" s="14">
        <v>5220</v>
      </c>
      <c r="AA124" s="14">
        <v>76597325</v>
      </c>
      <c r="AB124" s="14">
        <v>319</v>
      </c>
      <c r="AC124" s="14"/>
      <c r="AD124" s="14"/>
      <c r="AE124" s="14">
        <v>380</v>
      </c>
      <c r="AF124" s="14">
        <v>353</v>
      </c>
      <c r="AG124" s="14">
        <v>155</v>
      </c>
      <c r="AH124" s="14">
        <v>145</v>
      </c>
      <c r="AI124" s="14">
        <v>2880</v>
      </c>
      <c r="AJ124" s="14">
        <v>198</v>
      </c>
      <c r="AK124" s="14">
        <v>5</v>
      </c>
      <c r="AL124" s="14">
        <v>5220</v>
      </c>
      <c r="AM124" s="14">
        <v>247</v>
      </c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idden="1" x14ac:dyDescent="0.25">
      <c r="A125" s="45" t="s">
        <v>49</v>
      </c>
      <c r="B125" s="46">
        <v>25</v>
      </c>
      <c r="C125" s="45" t="s">
        <v>76</v>
      </c>
      <c r="D125" s="45" t="s">
        <v>21</v>
      </c>
      <c r="E125" s="45" t="s">
        <v>90</v>
      </c>
      <c r="F125" s="45">
        <v>2015</v>
      </c>
      <c r="G125" s="14">
        <v>8506</v>
      </c>
      <c r="H125" s="14">
        <v>3326</v>
      </c>
      <c r="I125" s="14">
        <v>5180</v>
      </c>
      <c r="J125" s="14">
        <v>47206</v>
      </c>
      <c r="K125" s="14">
        <v>183</v>
      </c>
      <c r="L125" s="14">
        <v>51</v>
      </c>
      <c r="M125" s="14">
        <v>52</v>
      </c>
      <c r="N125" s="14">
        <v>7159</v>
      </c>
      <c r="O125" s="14">
        <v>165717.12517568539</v>
      </c>
      <c r="P125" s="14">
        <v>3838</v>
      </c>
      <c r="Q125" s="14">
        <v>8710</v>
      </c>
      <c r="R125" s="14">
        <v>2473</v>
      </c>
      <c r="S125" s="14">
        <v>3113</v>
      </c>
      <c r="T125" s="14"/>
      <c r="U125" s="14"/>
      <c r="V125" s="14">
        <v>3935</v>
      </c>
      <c r="W125" s="14">
        <v>2267</v>
      </c>
      <c r="X125" s="14">
        <v>2199</v>
      </c>
      <c r="Y125" s="14">
        <v>2168</v>
      </c>
      <c r="Z125" s="14">
        <v>8506</v>
      </c>
      <c r="AA125" s="14">
        <v>194265438</v>
      </c>
      <c r="AB125" s="14">
        <v>561</v>
      </c>
      <c r="AC125" s="14"/>
      <c r="AD125" s="14"/>
      <c r="AE125" s="14">
        <v>584</v>
      </c>
      <c r="AF125" s="14">
        <v>941</v>
      </c>
      <c r="AG125" s="14">
        <v>218</v>
      </c>
      <c r="AH125" s="14">
        <v>470</v>
      </c>
      <c r="AI125" s="14">
        <v>774</v>
      </c>
      <c r="AJ125" s="14">
        <v>72</v>
      </c>
      <c r="AK125" s="14">
        <v>8</v>
      </c>
      <c r="AL125" s="14">
        <v>8420.94</v>
      </c>
      <c r="AM125" s="14">
        <v>68</v>
      </c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1:56" hidden="1" x14ac:dyDescent="0.25">
      <c r="A126" s="45" t="s">
        <v>49</v>
      </c>
      <c r="B126" s="46">
        <v>26</v>
      </c>
      <c r="C126" s="45" t="s">
        <v>77</v>
      </c>
      <c r="D126" s="45" t="s">
        <v>22</v>
      </c>
      <c r="E126" s="45" t="s">
        <v>90</v>
      </c>
      <c r="F126" s="45">
        <v>2015</v>
      </c>
      <c r="G126" s="14">
        <v>14044</v>
      </c>
      <c r="H126" s="14">
        <v>6199</v>
      </c>
      <c r="I126" s="14">
        <v>7845</v>
      </c>
      <c r="J126" s="14">
        <v>47330</v>
      </c>
      <c r="K126" s="14">
        <v>243</v>
      </c>
      <c r="L126" s="14">
        <v>36</v>
      </c>
      <c r="M126" s="14">
        <v>47</v>
      </c>
      <c r="N126" s="14">
        <v>11328</v>
      </c>
      <c r="O126" s="14">
        <v>158624.9306182384</v>
      </c>
      <c r="P126" s="14">
        <v>6300</v>
      </c>
      <c r="Q126" s="14">
        <v>13206</v>
      </c>
      <c r="R126" s="14">
        <v>2641</v>
      </c>
      <c r="S126" s="14">
        <v>6601</v>
      </c>
      <c r="T126" s="14"/>
      <c r="U126" s="14"/>
      <c r="V126" s="14">
        <v>5124</v>
      </c>
      <c r="W126" s="14">
        <v>2143</v>
      </c>
      <c r="X126" s="14">
        <v>2409</v>
      </c>
      <c r="Y126" s="14">
        <v>2041</v>
      </c>
      <c r="Z126" s="14">
        <v>14044</v>
      </c>
      <c r="AA126" s="14">
        <v>196627762</v>
      </c>
      <c r="AB126" s="14">
        <v>534</v>
      </c>
      <c r="AC126" s="14"/>
      <c r="AD126" s="14"/>
      <c r="AE126" s="14">
        <v>637.99999999999989</v>
      </c>
      <c r="AF126" s="14">
        <v>1019</v>
      </c>
      <c r="AG126" s="14">
        <v>328</v>
      </c>
      <c r="AH126" s="14">
        <v>405</v>
      </c>
      <c r="AI126" s="14">
        <v>5816</v>
      </c>
      <c r="AJ126" s="14">
        <v>243</v>
      </c>
      <c r="AK126" s="14">
        <v>2</v>
      </c>
      <c r="AL126" s="14">
        <v>5926.5680000000002</v>
      </c>
      <c r="AM126" s="14">
        <v>103</v>
      </c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1:56" hidden="1" x14ac:dyDescent="0.25">
      <c r="A127" s="45" t="s">
        <v>49</v>
      </c>
      <c r="B127" s="46">
        <v>27</v>
      </c>
      <c r="C127" s="45" t="s">
        <v>78</v>
      </c>
      <c r="D127" s="45" t="s">
        <v>23</v>
      </c>
      <c r="E127" s="45" t="s">
        <v>90</v>
      </c>
      <c r="F127" s="45">
        <v>2015</v>
      </c>
      <c r="G127" s="14">
        <v>5739</v>
      </c>
      <c r="H127" s="14">
        <v>2280</v>
      </c>
      <c r="I127" s="14">
        <v>3459</v>
      </c>
      <c r="J127" s="14">
        <v>42849</v>
      </c>
      <c r="K127" s="14">
        <v>76</v>
      </c>
      <c r="L127" s="14">
        <v>22</v>
      </c>
      <c r="M127" s="14">
        <v>25</v>
      </c>
      <c r="N127" s="14">
        <v>4780</v>
      </c>
      <c r="O127" s="14">
        <v>134263.10997582137</v>
      </c>
      <c r="P127" s="14"/>
      <c r="Q127" s="14">
        <v>5650</v>
      </c>
      <c r="R127" s="14">
        <v>1475</v>
      </c>
      <c r="S127" s="14">
        <v>2095</v>
      </c>
      <c r="T127" s="14"/>
      <c r="U127" s="14"/>
      <c r="V127" s="14">
        <v>2213</v>
      </c>
      <c r="W127" s="14">
        <v>1319</v>
      </c>
      <c r="X127" s="14">
        <v>1082</v>
      </c>
      <c r="Y127" s="14">
        <v>1055</v>
      </c>
      <c r="Z127" s="14">
        <v>5739</v>
      </c>
      <c r="AA127" s="14">
        <v>97447789</v>
      </c>
      <c r="AB127" s="14">
        <v>295</v>
      </c>
      <c r="AC127" s="14"/>
      <c r="AD127" s="14"/>
      <c r="AE127" s="14">
        <v>363</v>
      </c>
      <c r="AF127" s="14">
        <v>497</v>
      </c>
      <c r="AG127" s="14">
        <v>127</v>
      </c>
      <c r="AH127" s="14">
        <v>187</v>
      </c>
      <c r="AI127" s="14">
        <v>682</v>
      </c>
      <c r="AJ127" s="14">
        <v>0</v>
      </c>
      <c r="AK127" s="14">
        <v>5</v>
      </c>
      <c r="AL127" s="14">
        <v>3799.2179999999998</v>
      </c>
      <c r="AM127" s="14">
        <v>221</v>
      </c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1:56" hidden="1" x14ac:dyDescent="0.25">
      <c r="A128" s="45" t="s">
        <v>49</v>
      </c>
      <c r="B128" s="46">
        <v>28</v>
      </c>
      <c r="C128" s="45" t="s">
        <v>79</v>
      </c>
      <c r="D128" s="45" t="s">
        <v>24</v>
      </c>
      <c r="E128" s="45" t="s">
        <v>90</v>
      </c>
      <c r="F128" s="45">
        <v>2015</v>
      </c>
      <c r="G128" s="14">
        <v>9004</v>
      </c>
      <c r="H128" s="14">
        <v>3517</v>
      </c>
      <c r="I128" s="14">
        <v>5487</v>
      </c>
      <c r="J128" s="14">
        <v>53858</v>
      </c>
      <c r="K128" s="14">
        <v>147</v>
      </c>
      <c r="L128" s="14">
        <v>22</v>
      </c>
      <c r="M128" s="14">
        <v>49</v>
      </c>
      <c r="N128" s="14">
        <v>7552</v>
      </c>
      <c r="O128" s="14">
        <v>187329.31487792477</v>
      </c>
      <c r="P128" s="14">
        <v>3948</v>
      </c>
      <c r="Q128" s="14">
        <v>9281</v>
      </c>
      <c r="R128" s="14">
        <v>2277</v>
      </c>
      <c r="S128" s="14">
        <v>3933</v>
      </c>
      <c r="T128" s="14"/>
      <c r="U128" s="14"/>
      <c r="V128" s="14">
        <v>4147</v>
      </c>
      <c r="W128" s="14">
        <v>2058</v>
      </c>
      <c r="X128" s="14">
        <v>1728</v>
      </c>
      <c r="Y128" s="14">
        <v>1542</v>
      </c>
      <c r="Z128" s="14">
        <v>9004</v>
      </c>
      <c r="AA128" s="14">
        <v>151650427</v>
      </c>
      <c r="AB128" s="14">
        <v>402</v>
      </c>
      <c r="AC128" s="14"/>
      <c r="AD128" s="14"/>
      <c r="AE128" s="14">
        <v>482</v>
      </c>
      <c r="AF128" s="14">
        <v>955</v>
      </c>
      <c r="AG128" s="14">
        <v>280</v>
      </c>
      <c r="AH128" s="14">
        <v>291</v>
      </c>
      <c r="AI128" s="14">
        <v>5910</v>
      </c>
      <c r="AJ128" s="14">
        <v>12</v>
      </c>
      <c r="AK128" s="14">
        <v>8</v>
      </c>
      <c r="AL128" s="14">
        <v>9004</v>
      </c>
      <c r="AM128" s="14">
        <v>82</v>
      </c>
      <c r="AN128" s="14">
        <v>218</v>
      </c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1:56" hidden="1" x14ac:dyDescent="0.25">
      <c r="A129" s="45" t="s">
        <v>49</v>
      </c>
      <c r="B129" s="46">
        <v>29</v>
      </c>
      <c r="C129" s="45" t="s">
        <v>80</v>
      </c>
      <c r="D129" s="45" t="s">
        <v>25</v>
      </c>
      <c r="E129" s="45" t="s">
        <v>90</v>
      </c>
      <c r="F129" s="45">
        <v>2015</v>
      </c>
      <c r="G129" s="14">
        <v>2848</v>
      </c>
      <c r="H129" s="14">
        <v>1143</v>
      </c>
      <c r="I129" s="14">
        <v>1705</v>
      </c>
      <c r="J129" s="14">
        <v>21334</v>
      </c>
      <c r="K129" s="14">
        <v>43</v>
      </c>
      <c r="L129" s="14">
        <v>11</v>
      </c>
      <c r="M129" s="14">
        <v>17</v>
      </c>
      <c r="N129" s="14">
        <v>2482</v>
      </c>
      <c r="O129" s="14">
        <v>73772.184412816365</v>
      </c>
      <c r="P129" s="14">
        <v>1320</v>
      </c>
      <c r="Q129" s="14">
        <v>3081</v>
      </c>
      <c r="R129" s="14">
        <v>758</v>
      </c>
      <c r="S129" s="14">
        <v>1084</v>
      </c>
      <c r="T129" s="14"/>
      <c r="U129" s="14"/>
      <c r="V129" s="14">
        <v>1332</v>
      </c>
      <c r="W129" s="14">
        <v>655</v>
      </c>
      <c r="X129" s="14">
        <v>618</v>
      </c>
      <c r="Y129" s="14">
        <v>598</v>
      </c>
      <c r="Z129" s="14">
        <v>2848</v>
      </c>
      <c r="AA129" s="14">
        <v>36948468</v>
      </c>
      <c r="AB129" s="14">
        <v>175</v>
      </c>
      <c r="AC129" s="14"/>
      <c r="AD129" s="14"/>
      <c r="AE129" s="14">
        <v>464</v>
      </c>
      <c r="AF129" s="14">
        <v>372</v>
      </c>
      <c r="AG129" s="14">
        <v>94</v>
      </c>
      <c r="AH129" s="14">
        <v>73</v>
      </c>
      <c r="AI129" s="14">
        <v>19</v>
      </c>
      <c r="AJ129" s="14">
        <v>75</v>
      </c>
      <c r="AK129" s="14">
        <v>3</v>
      </c>
      <c r="AL129" s="14">
        <v>2848</v>
      </c>
      <c r="AM129" s="14">
        <v>0</v>
      </c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1:56" hidden="1" x14ac:dyDescent="0.25">
      <c r="A130" s="45" t="s">
        <v>49</v>
      </c>
      <c r="B130" s="46">
        <v>30</v>
      </c>
      <c r="C130" s="45" t="s">
        <v>81</v>
      </c>
      <c r="D130" s="45" t="s">
        <v>53</v>
      </c>
      <c r="E130" s="45" t="s">
        <v>90</v>
      </c>
      <c r="F130" s="45">
        <v>2015</v>
      </c>
      <c r="G130" s="14">
        <v>9327</v>
      </c>
      <c r="H130" s="14">
        <v>3736</v>
      </c>
      <c r="I130" s="14">
        <v>5591</v>
      </c>
      <c r="J130" s="14">
        <v>132416</v>
      </c>
      <c r="K130" s="14">
        <v>175</v>
      </c>
      <c r="L130" s="14">
        <v>36</v>
      </c>
      <c r="M130" s="14">
        <v>74</v>
      </c>
      <c r="N130" s="14">
        <v>7800</v>
      </c>
      <c r="O130" s="14">
        <v>447313.21251631447</v>
      </c>
      <c r="P130" s="14">
        <v>5338</v>
      </c>
      <c r="Q130" s="14">
        <v>9124</v>
      </c>
      <c r="R130" s="14">
        <v>2493</v>
      </c>
      <c r="S130" s="14">
        <v>3293</v>
      </c>
      <c r="T130" s="14"/>
      <c r="U130" s="14"/>
      <c r="V130" s="14">
        <v>3711</v>
      </c>
      <c r="W130" s="14">
        <v>2271</v>
      </c>
      <c r="X130" s="14">
        <v>2162</v>
      </c>
      <c r="Y130" s="14">
        <v>2057</v>
      </c>
      <c r="Z130" s="14">
        <v>9327</v>
      </c>
      <c r="AA130" s="14">
        <v>198977232</v>
      </c>
      <c r="AB130" s="14">
        <v>562</v>
      </c>
      <c r="AC130" s="14"/>
      <c r="AD130" s="14"/>
      <c r="AE130" s="14">
        <v>554.00000000000011</v>
      </c>
      <c r="AF130" s="14">
        <v>1217</v>
      </c>
      <c r="AG130" s="14">
        <v>293</v>
      </c>
      <c r="AH130" s="14">
        <v>397</v>
      </c>
      <c r="AI130" s="14">
        <v>4165</v>
      </c>
      <c r="AJ130" s="14">
        <v>234</v>
      </c>
      <c r="AK130" s="14">
        <v>10</v>
      </c>
      <c r="AL130" s="14">
        <v>8674.11</v>
      </c>
      <c r="AM130" s="14">
        <v>842</v>
      </c>
      <c r="AN130" s="14">
        <v>554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1:56" hidden="1" x14ac:dyDescent="0.25">
      <c r="A131" s="45" t="s">
        <v>49</v>
      </c>
      <c r="B131" s="46">
        <v>31</v>
      </c>
      <c r="C131" s="45" t="s">
        <v>82</v>
      </c>
      <c r="D131" s="45" t="s">
        <v>26</v>
      </c>
      <c r="E131" s="45" t="s">
        <v>90</v>
      </c>
      <c r="F131" s="45">
        <v>2015</v>
      </c>
      <c r="G131" s="14">
        <v>4839</v>
      </c>
      <c r="H131" s="14">
        <v>1913</v>
      </c>
      <c r="I131" s="14">
        <v>2926</v>
      </c>
      <c r="J131" s="14">
        <v>30873</v>
      </c>
      <c r="K131" s="14">
        <v>63</v>
      </c>
      <c r="L131" s="14">
        <v>14</v>
      </c>
      <c r="M131" s="14">
        <v>24</v>
      </c>
      <c r="N131" s="14">
        <v>3433</v>
      </c>
      <c r="O131" s="14">
        <v>111391.49791559768</v>
      </c>
      <c r="P131" s="14">
        <v>2466</v>
      </c>
      <c r="Q131" s="14">
        <v>4704</v>
      </c>
      <c r="R131" s="14">
        <v>1071</v>
      </c>
      <c r="S131" s="14">
        <v>2218</v>
      </c>
      <c r="T131" s="14"/>
      <c r="U131" s="14"/>
      <c r="V131" s="14">
        <v>1708</v>
      </c>
      <c r="W131" s="14">
        <v>899</v>
      </c>
      <c r="X131" s="14">
        <v>849</v>
      </c>
      <c r="Y131" s="14">
        <v>711</v>
      </c>
      <c r="Z131" s="14">
        <v>4839</v>
      </c>
      <c r="AA131" s="14">
        <v>88468761</v>
      </c>
      <c r="AB131" s="14">
        <v>272</v>
      </c>
      <c r="AC131" s="14"/>
      <c r="AD131" s="14"/>
      <c r="AE131" s="14">
        <v>361</v>
      </c>
      <c r="AF131" s="14">
        <v>360</v>
      </c>
      <c r="AG131" s="14">
        <v>127</v>
      </c>
      <c r="AH131" s="14">
        <v>154</v>
      </c>
      <c r="AI131" s="14">
        <v>2172</v>
      </c>
      <c r="AJ131" s="14">
        <v>163</v>
      </c>
      <c r="AK131" s="14">
        <v>4</v>
      </c>
      <c r="AL131" s="14">
        <v>4839</v>
      </c>
      <c r="AM131" s="14">
        <v>956</v>
      </c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1:56" hidden="1" x14ac:dyDescent="0.25">
      <c r="A132" s="45" t="s">
        <v>49</v>
      </c>
      <c r="B132" s="46">
        <v>32</v>
      </c>
      <c r="C132" s="45" t="s">
        <v>83</v>
      </c>
      <c r="D132" s="45" t="s">
        <v>27</v>
      </c>
      <c r="E132" s="45" t="s">
        <v>90</v>
      </c>
      <c r="F132" s="45">
        <v>2015</v>
      </c>
      <c r="G132" s="14">
        <v>1719</v>
      </c>
      <c r="H132" s="14">
        <v>779</v>
      </c>
      <c r="I132" s="14">
        <v>940</v>
      </c>
      <c r="J132" s="14">
        <v>25816</v>
      </c>
      <c r="K132" s="14">
        <v>46</v>
      </c>
      <c r="L132" s="14">
        <v>16</v>
      </c>
      <c r="M132" s="14">
        <v>7</v>
      </c>
      <c r="N132" s="14">
        <v>1313</v>
      </c>
      <c r="O132" s="14">
        <v>90808.802607902966</v>
      </c>
      <c r="P132" s="14">
        <v>882</v>
      </c>
      <c r="Q132" s="14">
        <v>1694</v>
      </c>
      <c r="R132" s="14">
        <v>309</v>
      </c>
      <c r="S132" s="14">
        <v>960</v>
      </c>
      <c r="T132" s="14"/>
      <c r="U132" s="14"/>
      <c r="V132" s="14">
        <v>767</v>
      </c>
      <c r="W132" s="14">
        <v>267</v>
      </c>
      <c r="X132" s="14">
        <v>276</v>
      </c>
      <c r="Y132" s="14">
        <v>271</v>
      </c>
      <c r="Z132" s="14">
        <v>1719</v>
      </c>
      <c r="AA132" s="14">
        <v>32276523</v>
      </c>
      <c r="AB132" s="14">
        <v>84</v>
      </c>
      <c r="AC132" s="14"/>
      <c r="AD132" s="14"/>
      <c r="AE132" s="14">
        <v>214</v>
      </c>
      <c r="AF132" s="14">
        <v>164</v>
      </c>
      <c r="AG132" s="14">
        <v>63</v>
      </c>
      <c r="AH132" s="14">
        <v>76</v>
      </c>
      <c r="AI132" s="14">
        <v>1767</v>
      </c>
      <c r="AJ132" s="14">
        <v>454</v>
      </c>
      <c r="AK132" s="14">
        <v>2</v>
      </c>
      <c r="AL132" s="14">
        <v>1481.7780000000002</v>
      </c>
      <c r="AM132" s="14">
        <v>370</v>
      </c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1:56" hidden="1" x14ac:dyDescent="0.25">
      <c r="A133" s="45" t="s">
        <v>134</v>
      </c>
      <c r="B133" s="46">
        <v>33</v>
      </c>
      <c r="C133" s="45" t="s">
        <v>135</v>
      </c>
      <c r="D133" s="45" t="s">
        <v>40</v>
      </c>
      <c r="E133" s="45" t="s">
        <v>90</v>
      </c>
      <c r="F133" s="45">
        <v>2015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>
        <v>112</v>
      </c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1:56" hidden="1" x14ac:dyDescent="0.25">
      <c r="A134" s="47" t="s">
        <v>49</v>
      </c>
      <c r="B134" s="48">
        <v>1</v>
      </c>
      <c r="C134" s="47" t="s">
        <v>54</v>
      </c>
      <c r="D134" s="47" t="s">
        <v>1</v>
      </c>
      <c r="E134" s="47" t="s">
        <v>91</v>
      </c>
      <c r="F134" s="47">
        <v>2016</v>
      </c>
      <c r="G134" s="15">
        <v>4628</v>
      </c>
      <c r="H134" s="15">
        <v>1649</v>
      </c>
      <c r="I134" s="15">
        <v>2979</v>
      </c>
      <c r="J134" s="15">
        <v>24872</v>
      </c>
      <c r="K134" s="15">
        <v>91</v>
      </c>
      <c r="L134" s="15"/>
      <c r="M134" s="15"/>
      <c r="N134" s="15">
        <v>4274</v>
      </c>
      <c r="O134" s="15">
        <v>75552.523142201011</v>
      </c>
      <c r="P134" s="15">
        <v>1783</v>
      </c>
      <c r="Q134" s="15">
        <v>4664</v>
      </c>
      <c r="R134" s="15">
        <v>1160</v>
      </c>
      <c r="S134" s="15">
        <v>1102</v>
      </c>
      <c r="T134" s="15">
        <v>1365</v>
      </c>
      <c r="U134" s="15">
        <v>2029</v>
      </c>
      <c r="V134" s="15">
        <v>1749</v>
      </c>
      <c r="W134" s="15">
        <v>1021</v>
      </c>
      <c r="X134" s="15">
        <v>1091</v>
      </c>
      <c r="Y134" s="15">
        <v>995</v>
      </c>
      <c r="Z134" s="15">
        <v>4628</v>
      </c>
      <c r="AA134" s="15">
        <v>61233430.649999999</v>
      </c>
      <c r="AB134" s="15">
        <v>287</v>
      </c>
      <c r="AC134" s="15">
        <v>4475</v>
      </c>
      <c r="AD134" s="15">
        <v>342</v>
      </c>
      <c r="AE134" s="15">
        <v>315</v>
      </c>
      <c r="AF134" s="15">
        <v>429</v>
      </c>
      <c r="AG134" s="15">
        <v>125</v>
      </c>
      <c r="AH134" s="15">
        <v>146</v>
      </c>
      <c r="AI134" s="15">
        <v>2520</v>
      </c>
      <c r="AJ134" s="15">
        <v>258</v>
      </c>
      <c r="AK134" s="15">
        <v>0</v>
      </c>
      <c r="AL134" s="15">
        <v>0</v>
      </c>
      <c r="AM134" s="15">
        <v>1257</v>
      </c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1:56" hidden="1" x14ac:dyDescent="0.25">
      <c r="A135" s="47" t="s">
        <v>49</v>
      </c>
      <c r="B135" s="48">
        <v>2</v>
      </c>
      <c r="C135" s="47" t="s">
        <v>55</v>
      </c>
      <c r="D135" s="47" t="s">
        <v>3</v>
      </c>
      <c r="E135" s="47" t="s">
        <v>91</v>
      </c>
      <c r="F135" s="47">
        <v>2016</v>
      </c>
      <c r="G135" s="15">
        <v>8090</v>
      </c>
      <c r="H135" s="15">
        <v>3472</v>
      </c>
      <c r="I135" s="15">
        <v>4618</v>
      </c>
      <c r="J135" s="15">
        <v>65797</v>
      </c>
      <c r="K135" s="15">
        <v>123</v>
      </c>
      <c r="L135" s="15"/>
      <c r="M135" s="15"/>
      <c r="N135" s="15">
        <v>6273</v>
      </c>
      <c r="O135" s="15">
        <v>189249.65677378187</v>
      </c>
      <c r="P135" s="15">
        <v>4316</v>
      </c>
      <c r="Q135" s="15">
        <v>8256</v>
      </c>
      <c r="R135" s="15">
        <v>1592</v>
      </c>
      <c r="S135" s="15">
        <v>3764</v>
      </c>
      <c r="T135" s="15">
        <v>1736</v>
      </c>
      <c r="U135" s="15">
        <v>3537</v>
      </c>
      <c r="V135" s="15">
        <v>3120</v>
      </c>
      <c r="W135" s="15">
        <v>1348</v>
      </c>
      <c r="X135" s="15">
        <v>1519</v>
      </c>
      <c r="Y135" s="15">
        <v>1367</v>
      </c>
      <c r="Z135" s="15">
        <v>8090</v>
      </c>
      <c r="AA135" s="15">
        <v>130855822.47</v>
      </c>
      <c r="AB135" s="15">
        <v>378</v>
      </c>
      <c r="AC135" s="15">
        <v>7110</v>
      </c>
      <c r="AD135" s="15">
        <v>345</v>
      </c>
      <c r="AE135" s="15">
        <v>318</v>
      </c>
      <c r="AF135" s="15">
        <v>749</v>
      </c>
      <c r="AG135" s="15">
        <v>156</v>
      </c>
      <c r="AH135" s="15">
        <v>203</v>
      </c>
      <c r="AI135" s="15">
        <v>2060</v>
      </c>
      <c r="AJ135" s="15">
        <v>49</v>
      </c>
      <c r="AK135" s="15">
        <v>6</v>
      </c>
      <c r="AL135" s="15">
        <v>8090</v>
      </c>
      <c r="AM135" s="15">
        <v>12</v>
      </c>
      <c r="AN135" s="15">
        <v>248</v>
      </c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1:56" hidden="1" x14ac:dyDescent="0.25">
      <c r="A136" s="47" t="s">
        <v>49</v>
      </c>
      <c r="B136" s="48">
        <v>3</v>
      </c>
      <c r="C136" s="47" t="s">
        <v>56</v>
      </c>
      <c r="D136" s="47" t="s">
        <v>4</v>
      </c>
      <c r="E136" s="47" t="s">
        <v>91</v>
      </c>
      <c r="F136" s="47">
        <v>2016</v>
      </c>
      <c r="G136" s="15">
        <v>1878</v>
      </c>
      <c r="H136" s="15">
        <v>795</v>
      </c>
      <c r="I136" s="15">
        <v>1083</v>
      </c>
      <c r="J136" s="15">
        <v>13365</v>
      </c>
      <c r="K136" s="15">
        <v>18</v>
      </c>
      <c r="L136" s="15"/>
      <c r="M136" s="15"/>
      <c r="N136" s="15">
        <v>1353</v>
      </c>
      <c r="O136" s="15">
        <v>41053.964711196735</v>
      </c>
      <c r="P136" s="15">
        <v>1070</v>
      </c>
      <c r="Q136" s="15">
        <v>1875</v>
      </c>
      <c r="R136" s="15">
        <v>549</v>
      </c>
      <c r="S136" s="15">
        <v>650</v>
      </c>
      <c r="T136" s="15">
        <v>380</v>
      </c>
      <c r="U136" s="15">
        <v>585</v>
      </c>
      <c r="V136" s="15">
        <v>884</v>
      </c>
      <c r="W136" s="15">
        <v>455</v>
      </c>
      <c r="X136" s="15">
        <v>429</v>
      </c>
      <c r="Y136" s="15">
        <v>412</v>
      </c>
      <c r="Z136" s="15">
        <v>1878</v>
      </c>
      <c r="AA136" s="15">
        <v>32845717.109999999</v>
      </c>
      <c r="AB136" s="15">
        <v>91</v>
      </c>
      <c r="AC136" s="15">
        <v>1737</v>
      </c>
      <c r="AD136" s="15">
        <v>199</v>
      </c>
      <c r="AE136" s="15">
        <v>154</v>
      </c>
      <c r="AF136" s="15">
        <v>217</v>
      </c>
      <c r="AG136" s="15">
        <v>43</v>
      </c>
      <c r="AH136" s="15">
        <v>59</v>
      </c>
      <c r="AI136" s="15">
        <v>1141</v>
      </c>
      <c r="AJ136" s="15">
        <v>52</v>
      </c>
      <c r="AK136" s="15">
        <v>0</v>
      </c>
      <c r="AL136" s="15">
        <v>0</v>
      </c>
      <c r="AM136" s="15">
        <v>0</v>
      </c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1:56" hidden="1" x14ac:dyDescent="0.25">
      <c r="A137" s="47" t="s">
        <v>49</v>
      </c>
      <c r="B137" s="48">
        <v>4</v>
      </c>
      <c r="C137" s="47" t="s">
        <v>57</v>
      </c>
      <c r="D137" s="47" t="s">
        <v>5</v>
      </c>
      <c r="E137" s="47" t="s">
        <v>91</v>
      </c>
      <c r="F137" s="47">
        <v>2016</v>
      </c>
      <c r="G137" s="15">
        <v>1835</v>
      </c>
      <c r="H137" s="15">
        <v>694</v>
      </c>
      <c r="I137" s="15">
        <v>1141</v>
      </c>
      <c r="J137" s="15">
        <v>13650</v>
      </c>
      <c r="K137" s="15">
        <v>40</v>
      </c>
      <c r="L137" s="15"/>
      <c r="M137" s="15"/>
      <c r="N137" s="15">
        <v>1231</v>
      </c>
      <c r="O137" s="15">
        <v>48515.428270691897</v>
      </c>
      <c r="P137" s="15">
        <v>845</v>
      </c>
      <c r="Q137" s="15">
        <v>1890</v>
      </c>
      <c r="R137" s="15">
        <v>394</v>
      </c>
      <c r="S137" s="15">
        <v>477</v>
      </c>
      <c r="T137" s="15">
        <v>373</v>
      </c>
      <c r="U137" s="15">
        <v>769</v>
      </c>
      <c r="V137" s="15">
        <v>799</v>
      </c>
      <c r="W137" s="15">
        <v>337</v>
      </c>
      <c r="X137" s="15">
        <v>367</v>
      </c>
      <c r="Y137" s="15">
        <v>317</v>
      </c>
      <c r="Z137" s="15">
        <v>1835</v>
      </c>
      <c r="AA137" s="15">
        <v>39270163.579999998</v>
      </c>
      <c r="AB137" s="15">
        <v>106</v>
      </c>
      <c r="AC137" s="15">
        <v>1635</v>
      </c>
      <c r="AD137" s="15">
        <v>187</v>
      </c>
      <c r="AE137" s="15">
        <v>166</v>
      </c>
      <c r="AF137" s="15">
        <v>331</v>
      </c>
      <c r="AG137" s="15">
        <v>77</v>
      </c>
      <c r="AH137" s="15">
        <v>71</v>
      </c>
      <c r="AI137" s="15">
        <v>209</v>
      </c>
      <c r="AJ137" s="15">
        <v>69</v>
      </c>
      <c r="AK137" s="15">
        <v>3</v>
      </c>
      <c r="AL137" s="15">
        <v>1835</v>
      </c>
      <c r="AM137" s="15">
        <v>227</v>
      </c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1:56" hidden="1" x14ac:dyDescent="0.25">
      <c r="A138" s="47" t="s">
        <v>49</v>
      </c>
      <c r="B138" s="48">
        <v>7</v>
      </c>
      <c r="C138" s="47" t="s">
        <v>58</v>
      </c>
      <c r="D138" s="47" t="s">
        <v>6</v>
      </c>
      <c r="E138" s="47" t="s">
        <v>91</v>
      </c>
      <c r="F138" s="47">
        <v>2016</v>
      </c>
      <c r="G138" s="15">
        <v>7553</v>
      </c>
      <c r="H138" s="15">
        <v>2843</v>
      </c>
      <c r="I138" s="15">
        <v>4710</v>
      </c>
      <c r="J138" s="15">
        <v>95696</v>
      </c>
      <c r="K138" s="15">
        <v>167</v>
      </c>
      <c r="L138" s="15"/>
      <c r="M138" s="15"/>
      <c r="N138" s="15">
        <v>6204</v>
      </c>
      <c r="O138" s="15">
        <v>340247.31517651619</v>
      </c>
      <c r="P138" s="15">
        <v>3471</v>
      </c>
      <c r="Q138" s="15">
        <v>7432</v>
      </c>
      <c r="R138" s="15">
        <v>1925</v>
      </c>
      <c r="S138" s="15">
        <v>2011</v>
      </c>
      <c r="T138" s="15">
        <v>2042</v>
      </c>
      <c r="U138" s="15">
        <v>3283</v>
      </c>
      <c r="V138" s="15">
        <v>3054</v>
      </c>
      <c r="W138" s="15">
        <v>1704</v>
      </c>
      <c r="X138" s="15">
        <v>1634</v>
      </c>
      <c r="Y138" s="15">
        <v>1474</v>
      </c>
      <c r="Z138" s="15">
        <v>7553</v>
      </c>
      <c r="AA138" s="15">
        <v>150972766.46000001</v>
      </c>
      <c r="AB138" s="15">
        <v>417</v>
      </c>
      <c r="AC138" s="15">
        <v>7121</v>
      </c>
      <c r="AD138" s="15">
        <v>453</v>
      </c>
      <c r="AE138" s="15">
        <v>419</v>
      </c>
      <c r="AF138" s="15">
        <v>714</v>
      </c>
      <c r="AG138" s="15">
        <v>197</v>
      </c>
      <c r="AH138" s="15">
        <v>234</v>
      </c>
      <c r="AI138" s="15">
        <v>3261</v>
      </c>
      <c r="AJ138" s="15">
        <v>126</v>
      </c>
      <c r="AK138" s="15">
        <v>2</v>
      </c>
      <c r="AL138" s="15">
        <v>2031.7569999999998</v>
      </c>
      <c r="AM138" s="15">
        <v>459</v>
      </c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1:56" hidden="1" x14ac:dyDescent="0.25">
      <c r="A139" s="47" t="s">
        <v>49</v>
      </c>
      <c r="B139" s="48">
        <v>8</v>
      </c>
      <c r="C139" s="47" t="s">
        <v>59</v>
      </c>
      <c r="D139" s="47" t="s">
        <v>7</v>
      </c>
      <c r="E139" s="47" t="s">
        <v>91</v>
      </c>
      <c r="F139" s="47">
        <v>2016</v>
      </c>
      <c r="G139" s="15">
        <v>9095</v>
      </c>
      <c r="H139" s="15">
        <v>3667</v>
      </c>
      <c r="I139" s="15">
        <v>5428</v>
      </c>
      <c r="J139" s="15">
        <v>58384</v>
      </c>
      <c r="K139" s="15">
        <v>157</v>
      </c>
      <c r="L139" s="15"/>
      <c r="M139" s="15"/>
      <c r="N139" s="15">
        <v>8007</v>
      </c>
      <c r="O139" s="15">
        <v>202549.85077126772</v>
      </c>
      <c r="P139" s="15">
        <v>4481</v>
      </c>
      <c r="Q139" s="15">
        <v>9712</v>
      </c>
      <c r="R139" s="15">
        <v>2136</v>
      </c>
      <c r="S139" s="15">
        <v>3194</v>
      </c>
      <c r="T139" s="15">
        <v>1862</v>
      </c>
      <c r="U139" s="15">
        <v>3922</v>
      </c>
      <c r="V139" s="15">
        <v>3670</v>
      </c>
      <c r="W139" s="15">
        <v>1887</v>
      </c>
      <c r="X139" s="15">
        <v>1992</v>
      </c>
      <c r="Y139" s="15">
        <v>1832</v>
      </c>
      <c r="Z139" s="15">
        <v>9095</v>
      </c>
      <c r="AA139" s="15">
        <v>145516960.11000001</v>
      </c>
      <c r="AB139" s="15">
        <v>595</v>
      </c>
      <c r="AC139" s="15">
        <v>8390</v>
      </c>
      <c r="AD139" s="15">
        <v>469</v>
      </c>
      <c r="AE139" s="15">
        <v>309</v>
      </c>
      <c r="AF139" s="15">
        <v>983</v>
      </c>
      <c r="AG139" s="15">
        <v>165</v>
      </c>
      <c r="AH139" s="15">
        <v>234</v>
      </c>
      <c r="AI139" s="15">
        <v>2090</v>
      </c>
      <c r="AJ139" s="15">
        <v>459</v>
      </c>
      <c r="AK139" s="15">
        <v>6</v>
      </c>
      <c r="AL139" s="15">
        <v>7294.19</v>
      </c>
      <c r="AM139" s="15">
        <v>171</v>
      </c>
      <c r="AN139" s="15">
        <v>830</v>
      </c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1:56" hidden="1" x14ac:dyDescent="0.25">
      <c r="A140" s="47" t="s">
        <v>50</v>
      </c>
      <c r="B140" s="48">
        <v>9</v>
      </c>
      <c r="C140" s="47" t="s">
        <v>84</v>
      </c>
      <c r="D140" s="47" t="s">
        <v>32</v>
      </c>
      <c r="E140" s="47" t="s">
        <v>91</v>
      </c>
      <c r="F140" s="47">
        <v>2016</v>
      </c>
      <c r="G140" s="15">
        <v>44532</v>
      </c>
      <c r="H140" s="15">
        <v>19341</v>
      </c>
      <c r="I140" s="15">
        <v>25191</v>
      </c>
      <c r="J140" s="15">
        <v>149092</v>
      </c>
      <c r="K140" s="15">
        <v>578</v>
      </c>
      <c r="L140" s="15"/>
      <c r="M140" s="15"/>
      <c r="N140" s="15">
        <v>35070</v>
      </c>
      <c r="O140" s="15">
        <v>398626.75142456184</v>
      </c>
      <c r="P140" s="15">
        <v>25391</v>
      </c>
      <c r="Q140" s="15">
        <v>44572</v>
      </c>
      <c r="R140" s="15">
        <v>8176</v>
      </c>
      <c r="S140" s="15">
        <v>13525</v>
      </c>
      <c r="T140" s="15">
        <v>8825</v>
      </c>
      <c r="U140" s="15">
        <v>18821</v>
      </c>
      <c r="V140" s="15">
        <v>17832</v>
      </c>
      <c r="W140" s="15">
        <v>6851</v>
      </c>
      <c r="X140" s="15">
        <v>6975</v>
      </c>
      <c r="Y140" s="15">
        <v>4488</v>
      </c>
      <c r="Z140" s="15">
        <v>44532</v>
      </c>
      <c r="AA140" s="15">
        <v>712523049.10000002</v>
      </c>
      <c r="AB140" s="15">
        <v>2139</v>
      </c>
      <c r="AC140" s="15">
        <v>36799</v>
      </c>
      <c r="AD140" s="15">
        <v>2124</v>
      </c>
      <c r="AE140" s="15">
        <v>1864</v>
      </c>
      <c r="AF140" s="15">
        <v>3705</v>
      </c>
      <c r="AG140" s="15">
        <v>946</v>
      </c>
      <c r="AH140" s="15">
        <v>1373</v>
      </c>
      <c r="AI140" s="15">
        <v>9656</v>
      </c>
      <c r="AJ140" s="15">
        <v>498</v>
      </c>
      <c r="AK140" s="15">
        <v>26</v>
      </c>
      <c r="AL140" s="15">
        <v>43196.04</v>
      </c>
      <c r="AM140" s="15">
        <v>409</v>
      </c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1:56" hidden="1" x14ac:dyDescent="0.25">
      <c r="A141" s="47" t="s">
        <v>49</v>
      </c>
      <c r="B141" s="48">
        <v>5</v>
      </c>
      <c r="C141" s="47" t="s">
        <v>60</v>
      </c>
      <c r="D141" s="47" t="s">
        <v>31</v>
      </c>
      <c r="E141" s="47" t="s">
        <v>91</v>
      </c>
      <c r="F141" s="47">
        <v>2016</v>
      </c>
      <c r="G141" s="15">
        <v>9358</v>
      </c>
      <c r="H141" s="15">
        <v>3694</v>
      </c>
      <c r="I141" s="15">
        <v>5664</v>
      </c>
      <c r="J141" s="15">
        <v>45461</v>
      </c>
      <c r="K141" s="15">
        <v>134</v>
      </c>
      <c r="L141" s="15"/>
      <c r="M141" s="15"/>
      <c r="N141" s="15">
        <v>7882</v>
      </c>
      <c r="O141" s="15">
        <v>164049.17509195409</v>
      </c>
      <c r="P141" s="15">
        <v>4894</v>
      </c>
      <c r="Q141" s="15">
        <v>8924</v>
      </c>
      <c r="R141" s="15">
        <v>1884</v>
      </c>
      <c r="S141" s="15">
        <v>1849</v>
      </c>
      <c r="T141" s="15">
        <v>2013</v>
      </c>
      <c r="U141" s="15">
        <v>3388</v>
      </c>
      <c r="V141" s="15">
        <v>3155</v>
      </c>
      <c r="W141" s="15">
        <v>1717</v>
      </c>
      <c r="X141" s="15">
        <v>1732</v>
      </c>
      <c r="Y141" s="15">
        <v>1678</v>
      </c>
      <c r="Z141" s="15">
        <v>9358</v>
      </c>
      <c r="AA141" s="15">
        <v>142365785.33000001</v>
      </c>
      <c r="AB141" s="15">
        <v>425</v>
      </c>
      <c r="AC141" s="15">
        <v>8247</v>
      </c>
      <c r="AD141" s="15">
        <v>471</v>
      </c>
      <c r="AE141" s="15">
        <v>381</v>
      </c>
      <c r="AF141" s="15">
        <v>1141</v>
      </c>
      <c r="AG141" s="15">
        <v>168</v>
      </c>
      <c r="AH141" s="15">
        <v>234</v>
      </c>
      <c r="AI141" s="15">
        <v>1777</v>
      </c>
      <c r="AJ141" s="15">
        <v>110</v>
      </c>
      <c r="AK141" s="15">
        <v>9</v>
      </c>
      <c r="AL141" s="15">
        <v>9358</v>
      </c>
      <c r="AM141" s="15">
        <v>29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1:56" hidden="1" x14ac:dyDescent="0.25">
      <c r="A142" s="47" t="s">
        <v>49</v>
      </c>
      <c r="B142" s="48">
        <v>6</v>
      </c>
      <c r="C142" s="47" t="s">
        <v>61</v>
      </c>
      <c r="D142" s="47" t="s">
        <v>8</v>
      </c>
      <c r="E142" s="47" t="s">
        <v>91</v>
      </c>
      <c r="F142" s="47">
        <v>2016</v>
      </c>
      <c r="G142" s="15">
        <v>1986</v>
      </c>
      <c r="H142" s="15">
        <v>861</v>
      </c>
      <c r="I142" s="15">
        <v>1125</v>
      </c>
      <c r="J142" s="15">
        <v>10098</v>
      </c>
      <c r="K142" s="15">
        <v>48</v>
      </c>
      <c r="L142" s="15"/>
      <c r="M142" s="15"/>
      <c r="N142" s="15">
        <v>1204</v>
      </c>
      <c r="O142" s="15">
        <v>37875.704792408171</v>
      </c>
      <c r="P142" s="15">
        <v>987</v>
      </c>
      <c r="Q142" s="15">
        <v>1904</v>
      </c>
      <c r="R142" s="15">
        <v>357</v>
      </c>
      <c r="S142" s="15">
        <v>912</v>
      </c>
      <c r="T142" s="15">
        <v>377</v>
      </c>
      <c r="U142" s="15">
        <v>806</v>
      </c>
      <c r="V142" s="15">
        <v>813</v>
      </c>
      <c r="W142" s="15">
        <v>288</v>
      </c>
      <c r="X142" s="15">
        <v>313</v>
      </c>
      <c r="Y142" s="15">
        <v>291</v>
      </c>
      <c r="Z142" s="15">
        <v>1986</v>
      </c>
      <c r="AA142" s="15">
        <v>39698810.590000004</v>
      </c>
      <c r="AB142" s="15">
        <v>116</v>
      </c>
      <c r="AC142" s="15">
        <v>1609</v>
      </c>
      <c r="AD142" s="15">
        <v>212</v>
      </c>
      <c r="AE142" s="15">
        <v>291</v>
      </c>
      <c r="AF142" s="15">
        <v>320</v>
      </c>
      <c r="AG142" s="15">
        <v>100</v>
      </c>
      <c r="AH142" s="15">
        <v>81</v>
      </c>
      <c r="AI142" s="15">
        <v>446</v>
      </c>
      <c r="AJ142" s="15">
        <v>53</v>
      </c>
      <c r="AK142" s="15">
        <v>3</v>
      </c>
      <c r="AL142" s="15">
        <v>1986</v>
      </c>
      <c r="AM142" s="15">
        <v>2</v>
      </c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1:56" hidden="1" x14ac:dyDescent="0.25">
      <c r="A143" s="47" t="s">
        <v>49</v>
      </c>
      <c r="B143" s="48">
        <v>10</v>
      </c>
      <c r="C143" s="47" t="s">
        <v>62</v>
      </c>
      <c r="D143" s="47" t="s">
        <v>9</v>
      </c>
      <c r="E143" s="47" t="s">
        <v>91</v>
      </c>
      <c r="F143" s="47">
        <v>2016</v>
      </c>
      <c r="G143" s="15">
        <v>2142</v>
      </c>
      <c r="H143" s="15">
        <v>853</v>
      </c>
      <c r="I143" s="15">
        <v>1289</v>
      </c>
      <c r="J143" s="15">
        <v>28138</v>
      </c>
      <c r="K143" s="15">
        <v>52</v>
      </c>
      <c r="L143" s="15"/>
      <c r="M143" s="15"/>
      <c r="N143" s="15">
        <v>1732</v>
      </c>
      <c r="O143" s="15">
        <v>103161.14488961299</v>
      </c>
      <c r="P143" s="15">
        <v>989</v>
      </c>
      <c r="Q143" s="15">
        <v>2338</v>
      </c>
      <c r="R143" s="15">
        <v>457</v>
      </c>
      <c r="S143" s="15">
        <v>885</v>
      </c>
      <c r="T143" s="15">
        <v>466</v>
      </c>
      <c r="U143" s="15">
        <v>1047</v>
      </c>
      <c r="V143" s="15">
        <v>1022</v>
      </c>
      <c r="W143" s="15">
        <v>403</v>
      </c>
      <c r="X143" s="15">
        <v>435</v>
      </c>
      <c r="Y143" s="15">
        <v>328</v>
      </c>
      <c r="Z143" s="15">
        <v>2142</v>
      </c>
      <c r="AA143" s="15">
        <v>38851853.909999996</v>
      </c>
      <c r="AB143" s="15">
        <v>152</v>
      </c>
      <c r="AC143" s="15">
        <v>2028</v>
      </c>
      <c r="AD143" s="15">
        <v>177</v>
      </c>
      <c r="AE143" s="15">
        <v>200</v>
      </c>
      <c r="AF143" s="15">
        <v>260</v>
      </c>
      <c r="AG143" s="15">
        <v>76</v>
      </c>
      <c r="AH143" s="15">
        <v>78</v>
      </c>
      <c r="AI143" s="15">
        <v>836</v>
      </c>
      <c r="AJ143" s="15">
        <v>19</v>
      </c>
      <c r="AK143" s="15">
        <v>2</v>
      </c>
      <c r="AL143" s="15">
        <v>1959.93</v>
      </c>
      <c r="AM143" s="15">
        <v>1</v>
      </c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1:56" hidden="1" x14ac:dyDescent="0.25">
      <c r="A144" s="47" t="s">
        <v>49</v>
      </c>
      <c r="B144" s="48">
        <v>11</v>
      </c>
      <c r="C144" s="47" t="s">
        <v>63</v>
      </c>
      <c r="D144" s="47" t="s">
        <v>10</v>
      </c>
      <c r="E144" s="47" t="s">
        <v>91</v>
      </c>
      <c r="F144" s="47">
        <v>2016</v>
      </c>
      <c r="G144" s="15">
        <v>17266</v>
      </c>
      <c r="H144" s="15">
        <v>7056</v>
      </c>
      <c r="I144" s="15">
        <v>10210</v>
      </c>
      <c r="J144" s="15">
        <v>101972</v>
      </c>
      <c r="K144" s="15">
        <v>288</v>
      </c>
      <c r="L144" s="15"/>
      <c r="M144" s="15"/>
      <c r="N144" s="15">
        <v>13982</v>
      </c>
      <c r="O144" s="15">
        <v>343052.59941082727</v>
      </c>
      <c r="P144" s="15">
        <v>9987</v>
      </c>
      <c r="Q144" s="15">
        <v>17490</v>
      </c>
      <c r="R144" s="15">
        <v>5020</v>
      </c>
      <c r="S144" s="15">
        <v>4946</v>
      </c>
      <c r="T144" s="15">
        <v>4145</v>
      </c>
      <c r="U144" s="15">
        <v>6290</v>
      </c>
      <c r="V144" s="15">
        <v>8079</v>
      </c>
      <c r="W144" s="15">
        <v>4743</v>
      </c>
      <c r="X144" s="15">
        <v>4179</v>
      </c>
      <c r="Y144" s="15">
        <v>4061</v>
      </c>
      <c r="Z144" s="15">
        <v>17266</v>
      </c>
      <c r="AA144" s="15">
        <v>232530027.75999999</v>
      </c>
      <c r="AB144" s="15">
        <v>882</v>
      </c>
      <c r="AC144" s="15">
        <v>16579</v>
      </c>
      <c r="AD144" s="15">
        <v>853</v>
      </c>
      <c r="AE144" s="15">
        <v>770</v>
      </c>
      <c r="AF144" s="15">
        <v>2187</v>
      </c>
      <c r="AG144" s="15">
        <v>494</v>
      </c>
      <c r="AH144" s="15">
        <v>445</v>
      </c>
      <c r="AI144" s="15">
        <v>14908</v>
      </c>
      <c r="AJ144" s="15">
        <v>724</v>
      </c>
      <c r="AK144" s="15">
        <v>14</v>
      </c>
      <c r="AL144" s="15">
        <v>15815.655999999999</v>
      </c>
      <c r="AM144" s="15">
        <v>1341</v>
      </c>
      <c r="AN144" s="15">
        <v>10325</v>
      </c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1:56" hidden="1" x14ac:dyDescent="0.25">
      <c r="A145" s="47" t="s">
        <v>49</v>
      </c>
      <c r="B145" s="48">
        <v>12</v>
      </c>
      <c r="C145" s="47" t="s">
        <v>64</v>
      </c>
      <c r="D145" s="47" t="s">
        <v>11</v>
      </c>
      <c r="E145" s="47" t="s">
        <v>91</v>
      </c>
      <c r="F145" s="47">
        <v>2016</v>
      </c>
      <c r="G145" s="15">
        <v>6290</v>
      </c>
      <c r="H145" s="15">
        <v>2388</v>
      </c>
      <c r="I145" s="15">
        <v>3902</v>
      </c>
      <c r="J145" s="15">
        <v>67377</v>
      </c>
      <c r="K145" s="15">
        <v>128</v>
      </c>
      <c r="L145" s="15"/>
      <c r="M145" s="15"/>
      <c r="N145" s="15">
        <v>4921</v>
      </c>
      <c r="O145" s="15">
        <v>223862.11018434755</v>
      </c>
      <c r="P145" s="15">
        <v>3307</v>
      </c>
      <c r="Q145" s="15">
        <v>6612</v>
      </c>
      <c r="R145" s="15">
        <v>1495</v>
      </c>
      <c r="S145" s="15">
        <v>2009</v>
      </c>
      <c r="T145" s="15">
        <v>1595</v>
      </c>
      <c r="U145" s="15">
        <v>2982</v>
      </c>
      <c r="V145" s="15">
        <v>2731</v>
      </c>
      <c r="W145" s="15">
        <v>1363</v>
      </c>
      <c r="X145" s="15">
        <v>1457</v>
      </c>
      <c r="Y145" s="15">
        <v>928</v>
      </c>
      <c r="Z145" s="15">
        <v>6290</v>
      </c>
      <c r="AA145" s="15">
        <v>126521394.34999999</v>
      </c>
      <c r="AB145" s="15">
        <v>314</v>
      </c>
      <c r="AC145" s="15">
        <v>5952</v>
      </c>
      <c r="AD145" s="15">
        <v>323</v>
      </c>
      <c r="AE145" s="15">
        <v>339</v>
      </c>
      <c r="AF145" s="15">
        <v>719</v>
      </c>
      <c r="AG145" s="15">
        <v>179</v>
      </c>
      <c r="AH145" s="15">
        <v>232</v>
      </c>
      <c r="AI145" s="15">
        <v>1707</v>
      </c>
      <c r="AJ145" s="15">
        <v>680</v>
      </c>
      <c r="AK145" s="15">
        <v>3</v>
      </c>
      <c r="AL145" s="15">
        <v>2861.95</v>
      </c>
      <c r="AM145" s="15">
        <v>1021</v>
      </c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1:56" hidden="1" x14ac:dyDescent="0.25">
      <c r="A146" s="47" t="s">
        <v>49</v>
      </c>
      <c r="B146" s="48">
        <v>13</v>
      </c>
      <c r="C146" s="47" t="s">
        <v>65</v>
      </c>
      <c r="D146" s="47" t="s">
        <v>12</v>
      </c>
      <c r="E146" s="47" t="s">
        <v>91</v>
      </c>
      <c r="F146" s="47">
        <v>2016</v>
      </c>
      <c r="G146" s="15">
        <v>3715</v>
      </c>
      <c r="H146" s="15">
        <v>1609</v>
      </c>
      <c r="I146" s="15">
        <v>2106</v>
      </c>
      <c r="J146" s="15">
        <v>53656</v>
      </c>
      <c r="K146" s="15">
        <v>71</v>
      </c>
      <c r="L146" s="15"/>
      <c r="M146" s="15"/>
      <c r="N146" s="15">
        <v>3240</v>
      </c>
      <c r="O146" s="15">
        <v>160914.50700483442</v>
      </c>
      <c r="P146" s="15">
        <v>1987</v>
      </c>
      <c r="Q146" s="15">
        <v>3713</v>
      </c>
      <c r="R146" s="15">
        <v>836</v>
      </c>
      <c r="S146" s="15">
        <v>1257</v>
      </c>
      <c r="T146" s="15">
        <v>887</v>
      </c>
      <c r="U146" s="15">
        <v>1656</v>
      </c>
      <c r="V146" s="15">
        <v>1716</v>
      </c>
      <c r="W146" s="15">
        <v>710</v>
      </c>
      <c r="X146" s="15">
        <v>691</v>
      </c>
      <c r="Y146" s="15">
        <v>684</v>
      </c>
      <c r="Z146" s="15">
        <v>3715</v>
      </c>
      <c r="AA146" s="15">
        <v>60800287.82</v>
      </c>
      <c r="AB146" s="15">
        <v>213</v>
      </c>
      <c r="AC146" s="15">
        <v>3207</v>
      </c>
      <c r="AD146" s="15">
        <v>280</v>
      </c>
      <c r="AE146" s="15">
        <v>255</v>
      </c>
      <c r="AF146" s="15">
        <v>428</v>
      </c>
      <c r="AG146" s="15">
        <v>112</v>
      </c>
      <c r="AH146" s="15">
        <v>168</v>
      </c>
      <c r="AI146" s="15">
        <v>839</v>
      </c>
      <c r="AJ146" s="15">
        <v>512</v>
      </c>
      <c r="AK146" s="15">
        <v>3</v>
      </c>
      <c r="AL146" s="15">
        <v>2403.605</v>
      </c>
      <c r="AM146" s="15">
        <v>183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1:56" hidden="1" x14ac:dyDescent="0.25">
      <c r="A147" s="47" t="s">
        <v>49</v>
      </c>
      <c r="B147" s="48">
        <v>14</v>
      </c>
      <c r="C147" s="47" t="s">
        <v>66</v>
      </c>
      <c r="D147" s="47" t="s">
        <v>13</v>
      </c>
      <c r="E147" s="47" t="s">
        <v>91</v>
      </c>
      <c r="F147" s="47">
        <v>2016</v>
      </c>
      <c r="G147" s="15">
        <v>14712</v>
      </c>
      <c r="H147" s="15">
        <v>5788</v>
      </c>
      <c r="I147" s="15">
        <v>8924</v>
      </c>
      <c r="J147" s="15">
        <v>134735</v>
      </c>
      <c r="K147" s="15">
        <v>276</v>
      </c>
      <c r="L147" s="15"/>
      <c r="M147" s="15"/>
      <c r="N147" s="15">
        <v>11181</v>
      </c>
      <c r="O147" s="15">
        <v>434016.99044479663</v>
      </c>
      <c r="P147" s="15">
        <v>6016</v>
      </c>
      <c r="Q147" s="15">
        <v>14614</v>
      </c>
      <c r="R147" s="15">
        <v>3200</v>
      </c>
      <c r="S147" s="15">
        <v>4120</v>
      </c>
      <c r="T147" s="15">
        <v>3396</v>
      </c>
      <c r="U147" s="15">
        <v>5964</v>
      </c>
      <c r="V147" s="15">
        <v>5644</v>
      </c>
      <c r="W147" s="15">
        <v>2841</v>
      </c>
      <c r="X147" s="15">
        <v>3081</v>
      </c>
      <c r="Y147" s="15">
        <v>2825</v>
      </c>
      <c r="Z147" s="15">
        <v>14712</v>
      </c>
      <c r="AA147" s="15">
        <v>246794917.25</v>
      </c>
      <c r="AB147" s="15">
        <v>865</v>
      </c>
      <c r="AC147" s="15">
        <v>13508</v>
      </c>
      <c r="AD147" s="15">
        <v>757</v>
      </c>
      <c r="AE147" s="15">
        <v>717</v>
      </c>
      <c r="AF147" s="15">
        <v>2084</v>
      </c>
      <c r="AG147" s="15">
        <v>411</v>
      </c>
      <c r="AH147" s="15">
        <v>503</v>
      </c>
      <c r="AI147" s="15">
        <v>5689</v>
      </c>
      <c r="AJ147" s="15">
        <v>422</v>
      </c>
      <c r="AK147" s="15">
        <v>16</v>
      </c>
      <c r="AL147" s="15">
        <v>14108.808000000001</v>
      </c>
      <c r="AM147" s="15">
        <v>33</v>
      </c>
      <c r="AN147" s="15">
        <v>523</v>
      </c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1:56" hidden="1" x14ac:dyDescent="0.25">
      <c r="A148" s="47" t="s">
        <v>49</v>
      </c>
      <c r="B148" s="48">
        <v>15</v>
      </c>
      <c r="C148" s="47" t="s">
        <v>67</v>
      </c>
      <c r="D148" s="47" t="s">
        <v>14</v>
      </c>
      <c r="E148" s="47" t="s">
        <v>91</v>
      </c>
      <c r="F148" s="47">
        <v>2016</v>
      </c>
      <c r="G148" s="15">
        <v>48274</v>
      </c>
      <c r="H148" s="15">
        <v>20110</v>
      </c>
      <c r="I148" s="15">
        <v>28164</v>
      </c>
      <c r="J148" s="15">
        <v>282972</v>
      </c>
      <c r="K148" s="15">
        <v>777</v>
      </c>
      <c r="L148" s="15"/>
      <c r="M148" s="15"/>
      <c r="N148" s="15">
        <v>41167</v>
      </c>
      <c r="O148" s="15">
        <v>912434.1330424099</v>
      </c>
      <c r="P148" s="15">
        <v>30447</v>
      </c>
      <c r="Q148" s="15">
        <v>47574</v>
      </c>
      <c r="R148" s="15">
        <v>9775</v>
      </c>
      <c r="S148" s="15">
        <v>12800</v>
      </c>
      <c r="T148" s="15">
        <v>10025</v>
      </c>
      <c r="U148" s="15">
        <v>20185</v>
      </c>
      <c r="V148" s="15">
        <v>19346</v>
      </c>
      <c r="W148" s="15">
        <v>8197</v>
      </c>
      <c r="X148" s="15">
        <v>8432</v>
      </c>
      <c r="Y148" s="15">
        <v>7119</v>
      </c>
      <c r="Z148" s="15">
        <v>48274</v>
      </c>
      <c r="AA148" s="15">
        <v>719471475.25999999</v>
      </c>
      <c r="AB148" s="15">
        <v>2301</v>
      </c>
      <c r="AC148" s="15">
        <v>42079</v>
      </c>
      <c r="AD148" s="15">
        <v>1717</v>
      </c>
      <c r="AE148" s="15">
        <v>1483</v>
      </c>
      <c r="AF148" s="15">
        <v>4445</v>
      </c>
      <c r="AG148" s="15">
        <v>1213</v>
      </c>
      <c r="AH148" s="15">
        <v>1300</v>
      </c>
      <c r="AI148" s="15">
        <v>10044</v>
      </c>
      <c r="AJ148" s="15">
        <v>1523</v>
      </c>
      <c r="AK148" s="15">
        <v>39</v>
      </c>
      <c r="AL148" s="15">
        <v>48274</v>
      </c>
      <c r="AM148" s="15">
        <v>21394</v>
      </c>
      <c r="AN148" s="15">
        <v>928</v>
      </c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1:56" hidden="1" x14ac:dyDescent="0.25">
      <c r="A149" s="47" t="s">
        <v>49</v>
      </c>
      <c r="B149" s="48">
        <v>16</v>
      </c>
      <c r="C149" s="47" t="s">
        <v>68</v>
      </c>
      <c r="D149" s="47" t="s">
        <v>30</v>
      </c>
      <c r="E149" s="47" t="s">
        <v>91</v>
      </c>
      <c r="F149" s="47">
        <v>2016</v>
      </c>
      <c r="G149" s="15">
        <v>11186</v>
      </c>
      <c r="H149" s="15">
        <v>4617</v>
      </c>
      <c r="I149" s="15">
        <v>6569</v>
      </c>
      <c r="J149" s="15">
        <v>71545</v>
      </c>
      <c r="K149" s="15">
        <v>219</v>
      </c>
      <c r="L149" s="15"/>
      <c r="M149" s="15"/>
      <c r="N149" s="15">
        <v>9228</v>
      </c>
      <c r="O149" s="15">
        <v>260237.037837757</v>
      </c>
      <c r="P149" s="15">
        <v>5759</v>
      </c>
      <c r="Q149" s="15">
        <v>11182</v>
      </c>
      <c r="R149" s="15">
        <v>2812</v>
      </c>
      <c r="S149" s="15">
        <v>2669</v>
      </c>
      <c r="T149" s="15">
        <v>2762</v>
      </c>
      <c r="U149" s="15">
        <v>5092</v>
      </c>
      <c r="V149" s="15">
        <v>4749</v>
      </c>
      <c r="W149" s="15">
        <v>2396</v>
      </c>
      <c r="X149" s="15">
        <v>2482</v>
      </c>
      <c r="Y149" s="15">
        <v>2207</v>
      </c>
      <c r="Z149" s="15">
        <v>11186</v>
      </c>
      <c r="AA149" s="15">
        <v>196792051.69999999</v>
      </c>
      <c r="AB149" s="15">
        <v>461</v>
      </c>
      <c r="AC149" s="15">
        <v>10198</v>
      </c>
      <c r="AD149" s="15">
        <v>519</v>
      </c>
      <c r="AE149" s="15">
        <v>446</v>
      </c>
      <c r="AF149" s="15">
        <v>1204</v>
      </c>
      <c r="AG149" s="15">
        <v>270</v>
      </c>
      <c r="AH149" s="15">
        <v>355</v>
      </c>
      <c r="AI149" s="15">
        <v>1852</v>
      </c>
      <c r="AJ149" s="15">
        <v>450</v>
      </c>
      <c r="AK149" s="15">
        <v>3</v>
      </c>
      <c r="AL149" s="15">
        <v>3959.8439999999996</v>
      </c>
      <c r="AM149" s="15">
        <v>39</v>
      </c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1:56" hidden="1" x14ac:dyDescent="0.25">
      <c r="A150" s="47" t="s">
        <v>49</v>
      </c>
      <c r="B150" s="48">
        <v>17</v>
      </c>
      <c r="C150" s="47" t="s">
        <v>69</v>
      </c>
      <c r="D150" s="47" t="s">
        <v>15</v>
      </c>
      <c r="E150" s="47" t="s">
        <v>91</v>
      </c>
      <c r="F150" s="47">
        <v>2016</v>
      </c>
      <c r="G150" s="15">
        <v>4719</v>
      </c>
      <c r="H150" s="15">
        <v>2007</v>
      </c>
      <c r="I150" s="15">
        <v>2712</v>
      </c>
      <c r="J150" s="15">
        <v>37387</v>
      </c>
      <c r="K150" s="15">
        <v>72</v>
      </c>
      <c r="L150" s="15"/>
      <c r="M150" s="15"/>
      <c r="N150" s="15">
        <v>3808</v>
      </c>
      <c r="O150" s="15">
        <v>102090.35270232501</v>
      </c>
      <c r="P150" s="15">
        <v>2557</v>
      </c>
      <c r="Q150" s="15">
        <v>4599</v>
      </c>
      <c r="R150" s="15">
        <v>1143</v>
      </c>
      <c r="S150" s="15">
        <v>1490</v>
      </c>
      <c r="T150" s="15">
        <v>1225</v>
      </c>
      <c r="U150" s="15">
        <v>2046</v>
      </c>
      <c r="V150" s="15">
        <v>1832</v>
      </c>
      <c r="W150" s="15">
        <v>1040</v>
      </c>
      <c r="X150" s="15">
        <v>1130</v>
      </c>
      <c r="Y150" s="15">
        <v>1030</v>
      </c>
      <c r="Z150" s="15">
        <v>4719</v>
      </c>
      <c r="AA150" s="15">
        <v>66564926.93</v>
      </c>
      <c r="AB150" s="15">
        <v>243</v>
      </c>
      <c r="AC150" s="15">
        <v>4091</v>
      </c>
      <c r="AD150" s="15">
        <v>29</v>
      </c>
      <c r="AE150" s="15">
        <v>6</v>
      </c>
      <c r="AF150" s="15">
        <v>532</v>
      </c>
      <c r="AG150" s="15">
        <v>117</v>
      </c>
      <c r="AH150" s="15">
        <v>136</v>
      </c>
      <c r="AI150" s="15">
        <v>902</v>
      </c>
      <c r="AJ150" s="15">
        <v>539</v>
      </c>
      <c r="AK150" s="15">
        <v>5</v>
      </c>
      <c r="AL150" s="15">
        <v>4719</v>
      </c>
      <c r="AM150" s="15">
        <v>1860</v>
      </c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1:56" hidden="1" x14ac:dyDescent="0.25">
      <c r="A151" s="47" t="s">
        <v>49</v>
      </c>
      <c r="B151" s="48">
        <v>18</v>
      </c>
      <c r="C151" s="47" t="s">
        <v>70</v>
      </c>
      <c r="D151" s="47" t="s">
        <v>16</v>
      </c>
      <c r="E151" s="47" t="s">
        <v>91</v>
      </c>
      <c r="F151" s="47">
        <v>2016</v>
      </c>
      <c r="G151" s="15">
        <v>3195</v>
      </c>
      <c r="H151" s="15">
        <v>1407</v>
      </c>
      <c r="I151" s="15">
        <v>1788</v>
      </c>
      <c r="J151" s="15">
        <v>23258</v>
      </c>
      <c r="K151" s="15">
        <v>61</v>
      </c>
      <c r="L151" s="15"/>
      <c r="M151" s="15"/>
      <c r="N151" s="15">
        <v>2775</v>
      </c>
      <c r="O151" s="15">
        <v>66472.42397422815</v>
      </c>
      <c r="P151" s="15">
        <v>1704</v>
      </c>
      <c r="Q151" s="15">
        <v>3019</v>
      </c>
      <c r="R151" s="15">
        <v>717</v>
      </c>
      <c r="S151" s="15">
        <v>1030</v>
      </c>
      <c r="T151" s="15">
        <v>642</v>
      </c>
      <c r="U151" s="15">
        <v>1201</v>
      </c>
      <c r="V151" s="15">
        <v>1236</v>
      </c>
      <c r="W151" s="15">
        <v>639</v>
      </c>
      <c r="X151" s="15">
        <v>620</v>
      </c>
      <c r="Y151" s="15">
        <v>600</v>
      </c>
      <c r="Z151" s="15">
        <v>3195</v>
      </c>
      <c r="AA151" s="15">
        <v>50186140.68</v>
      </c>
      <c r="AB151" s="15">
        <v>123</v>
      </c>
      <c r="AC151" s="15">
        <v>2654</v>
      </c>
      <c r="AD151" s="15">
        <v>310</v>
      </c>
      <c r="AE151" s="15">
        <v>317</v>
      </c>
      <c r="AF151" s="15">
        <v>361</v>
      </c>
      <c r="AG151" s="15">
        <v>62</v>
      </c>
      <c r="AH151" s="15">
        <v>131</v>
      </c>
      <c r="AI151" s="15">
        <v>609</v>
      </c>
      <c r="AJ151" s="15">
        <v>25</v>
      </c>
      <c r="AK151" s="15">
        <v>0</v>
      </c>
      <c r="AL151" s="15">
        <v>0</v>
      </c>
      <c r="AM151" s="15">
        <v>0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1:56" hidden="1" x14ac:dyDescent="0.25">
      <c r="A152" s="47" t="s">
        <v>49</v>
      </c>
      <c r="B152" s="48">
        <v>19</v>
      </c>
      <c r="C152" s="47" t="s">
        <v>71</v>
      </c>
      <c r="D152" s="47" t="s">
        <v>17</v>
      </c>
      <c r="E152" s="47" t="s">
        <v>91</v>
      </c>
      <c r="F152" s="47">
        <v>2016</v>
      </c>
      <c r="G152" s="15">
        <v>20067</v>
      </c>
      <c r="H152" s="15">
        <v>9082</v>
      </c>
      <c r="I152" s="15">
        <v>10985</v>
      </c>
      <c r="J152" s="15">
        <v>90665</v>
      </c>
      <c r="K152" s="15">
        <v>270</v>
      </c>
      <c r="L152" s="15"/>
      <c r="M152" s="15"/>
      <c r="N152" s="15">
        <v>16187</v>
      </c>
      <c r="O152" s="15">
        <v>264210.40940151631</v>
      </c>
      <c r="P152" s="15">
        <v>11690</v>
      </c>
      <c r="Q152" s="15">
        <v>18667</v>
      </c>
      <c r="R152" s="15">
        <v>4003</v>
      </c>
      <c r="S152" s="15">
        <v>5703</v>
      </c>
      <c r="T152" s="15">
        <v>3847</v>
      </c>
      <c r="U152" s="15">
        <v>6947</v>
      </c>
      <c r="V152" s="15">
        <v>7514</v>
      </c>
      <c r="W152" s="15">
        <v>3684</v>
      </c>
      <c r="X152" s="15">
        <v>3797</v>
      </c>
      <c r="Y152" s="15">
        <v>3715</v>
      </c>
      <c r="Z152" s="15">
        <v>20067</v>
      </c>
      <c r="AA152" s="15">
        <v>206380341.27000001</v>
      </c>
      <c r="AB152" s="15">
        <v>989</v>
      </c>
      <c r="AC152" s="15">
        <v>16910</v>
      </c>
      <c r="AD152" s="15">
        <v>774</v>
      </c>
      <c r="AE152" s="15">
        <v>727</v>
      </c>
      <c r="AF152" s="15">
        <v>1549</v>
      </c>
      <c r="AG152" s="15">
        <v>377</v>
      </c>
      <c r="AH152" s="15">
        <v>355</v>
      </c>
      <c r="AI152" s="15">
        <v>44247</v>
      </c>
      <c r="AJ152" s="15">
        <v>1812</v>
      </c>
      <c r="AK152" s="15">
        <v>11</v>
      </c>
      <c r="AL152" s="15">
        <v>13765.962</v>
      </c>
      <c r="AM152" s="15">
        <v>40750</v>
      </c>
      <c r="AN152" s="15">
        <v>459</v>
      </c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1:56" hidden="1" x14ac:dyDescent="0.25">
      <c r="A153" s="47" t="s">
        <v>50</v>
      </c>
      <c r="B153" s="48">
        <v>20</v>
      </c>
      <c r="C153" s="47" t="s">
        <v>85</v>
      </c>
      <c r="D153" s="47" t="s">
        <v>28</v>
      </c>
      <c r="E153" s="47" t="s">
        <v>91</v>
      </c>
      <c r="F153" s="47">
        <v>2016</v>
      </c>
      <c r="G153" s="15">
        <v>6379</v>
      </c>
      <c r="H153" s="15">
        <v>2505</v>
      </c>
      <c r="I153" s="15">
        <v>3874</v>
      </c>
      <c r="J153" s="15">
        <v>64804</v>
      </c>
      <c r="K153" s="15">
        <v>127</v>
      </c>
      <c r="L153" s="15"/>
      <c r="M153" s="15"/>
      <c r="N153" s="15">
        <v>5165</v>
      </c>
      <c r="O153" s="15">
        <v>238629.8246244514</v>
      </c>
      <c r="P153" s="15">
        <v>3009</v>
      </c>
      <c r="Q153" s="15">
        <v>6301</v>
      </c>
      <c r="R153" s="15">
        <v>1392</v>
      </c>
      <c r="S153" s="15">
        <v>1960</v>
      </c>
      <c r="T153" s="15">
        <v>1511</v>
      </c>
      <c r="U153" s="15">
        <v>2793</v>
      </c>
      <c r="V153" s="15">
        <v>2396</v>
      </c>
      <c r="W153" s="15">
        <v>1203</v>
      </c>
      <c r="X153" s="15">
        <v>1316</v>
      </c>
      <c r="Y153" s="15">
        <v>791</v>
      </c>
      <c r="Z153" s="15">
        <v>6379</v>
      </c>
      <c r="AA153" s="15">
        <v>161102864.30000001</v>
      </c>
      <c r="AB153" s="15">
        <v>392</v>
      </c>
      <c r="AC153" s="15">
        <v>5747</v>
      </c>
      <c r="AD153" s="15">
        <v>646</v>
      </c>
      <c r="AE153" s="15">
        <v>836</v>
      </c>
      <c r="AF153" s="15">
        <v>637</v>
      </c>
      <c r="AG153" s="15">
        <v>154</v>
      </c>
      <c r="AH153" s="15">
        <v>196</v>
      </c>
      <c r="AI153" s="15">
        <v>2334</v>
      </c>
      <c r="AJ153" s="15">
        <v>26</v>
      </c>
      <c r="AK153" s="15">
        <v>3</v>
      </c>
      <c r="AL153" s="15">
        <v>3106.5730000000003</v>
      </c>
      <c r="AM153" s="15">
        <v>70</v>
      </c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1:56" hidden="1" x14ac:dyDescent="0.25">
      <c r="A154" s="47" t="s">
        <v>49</v>
      </c>
      <c r="B154" s="48">
        <v>21</v>
      </c>
      <c r="C154" s="47" t="s">
        <v>72</v>
      </c>
      <c r="D154" s="47" t="s">
        <v>18</v>
      </c>
      <c r="E154" s="47" t="s">
        <v>91</v>
      </c>
      <c r="F154" s="47">
        <v>2016</v>
      </c>
      <c r="G154" s="15">
        <v>7260</v>
      </c>
      <c r="H154" s="15">
        <v>2814</v>
      </c>
      <c r="I154" s="15">
        <v>4446</v>
      </c>
      <c r="J154" s="15">
        <v>112511</v>
      </c>
      <c r="K154" s="15">
        <v>161</v>
      </c>
      <c r="L154" s="15"/>
      <c r="M154" s="15"/>
      <c r="N154" s="15">
        <v>6045</v>
      </c>
      <c r="O154" s="15">
        <v>365819.68174850667</v>
      </c>
      <c r="P154" s="15">
        <v>3966</v>
      </c>
      <c r="Q154" s="15">
        <v>7128</v>
      </c>
      <c r="R154" s="15">
        <v>1880</v>
      </c>
      <c r="S154" s="15">
        <v>1318</v>
      </c>
      <c r="T154" s="15">
        <v>1956</v>
      </c>
      <c r="U154" s="15">
        <v>3180</v>
      </c>
      <c r="V154" s="15">
        <v>2813</v>
      </c>
      <c r="W154" s="15">
        <v>1681</v>
      </c>
      <c r="X154" s="15">
        <v>1602</v>
      </c>
      <c r="Y154" s="15">
        <v>1494</v>
      </c>
      <c r="Z154" s="15">
        <v>7260</v>
      </c>
      <c r="AA154" s="15">
        <v>142747445.18000001</v>
      </c>
      <c r="AB154" s="15">
        <v>396</v>
      </c>
      <c r="AC154" s="15">
        <v>6841</v>
      </c>
      <c r="AD154" s="15">
        <v>530</v>
      </c>
      <c r="AE154" s="15">
        <v>409</v>
      </c>
      <c r="AF154" s="15">
        <v>1005</v>
      </c>
      <c r="AG154" s="15">
        <v>230</v>
      </c>
      <c r="AH154" s="15">
        <v>262</v>
      </c>
      <c r="AI154" s="15">
        <v>5771</v>
      </c>
      <c r="AJ154" s="15">
        <v>160</v>
      </c>
      <c r="AK154" s="15">
        <v>10</v>
      </c>
      <c r="AL154" s="15">
        <v>7260</v>
      </c>
      <c r="AM154" s="15">
        <v>3613</v>
      </c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1:56" hidden="1" x14ac:dyDescent="0.25">
      <c r="A155" s="47" t="s">
        <v>49</v>
      </c>
      <c r="B155" s="48">
        <v>22</v>
      </c>
      <c r="C155" s="47" t="s">
        <v>73</v>
      </c>
      <c r="D155" s="47" t="s">
        <v>29</v>
      </c>
      <c r="E155" s="47" t="s">
        <v>91</v>
      </c>
      <c r="F155" s="47">
        <v>2016</v>
      </c>
      <c r="G155" s="15">
        <v>3418</v>
      </c>
      <c r="H155" s="15">
        <v>1359</v>
      </c>
      <c r="I155" s="15">
        <v>2059</v>
      </c>
      <c r="J155" s="15">
        <v>38223</v>
      </c>
      <c r="K155" s="15">
        <v>66</v>
      </c>
      <c r="L155" s="15"/>
      <c r="M155" s="15"/>
      <c r="N155" s="15">
        <v>2773</v>
      </c>
      <c r="O155" s="15">
        <v>113220.15701172216</v>
      </c>
      <c r="P155" s="15">
        <v>2344</v>
      </c>
      <c r="Q155" s="15">
        <v>3482</v>
      </c>
      <c r="R155" s="15">
        <v>806</v>
      </c>
      <c r="S155" s="15">
        <v>1440</v>
      </c>
      <c r="T155" s="15">
        <v>755</v>
      </c>
      <c r="U155" s="15">
        <v>1218</v>
      </c>
      <c r="V155" s="15">
        <v>1347</v>
      </c>
      <c r="W155" s="15">
        <v>754</v>
      </c>
      <c r="X155" s="15">
        <v>715</v>
      </c>
      <c r="Y155" s="15">
        <v>670</v>
      </c>
      <c r="Z155" s="15">
        <v>3418</v>
      </c>
      <c r="AA155" s="15">
        <v>44110957.090000004</v>
      </c>
      <c r="AB155" s="15">
        <v>273</v>
      </c>
      <c r="AC155" s="15">
        <v>3211</v>
      </c>
      <c r="AD155" s="15">
        <v>288</v>
      </c>
      <c r="AE155" s="15">
        <v>266</v>
      </c>
      <c r="AF155" s="15">
        <v>449</v>
      </c>
      <c r="AG155" s="15">
        <v>82</v>
      </c>
      <c r="AH155" s="15">
        <v>107</v>
      </c>
      <c r="AI155" s="15">
        <v>1056</v>
      </c>
      <c r="AJ155" s="15">
        <v>99</v>
      </c>
      <c r="AK155" s="15">
        <v>2</v>
      </c>
      <c r="AL155" s="15">
        <v>1435.56</v>
      </c>
      <c r="AM155" s="15">
        <v>7</v>
      </c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1:56" hidden="1" x14ac:dyDescent="0.25">
      <c r="A156" s="47" t="s">
        <v>49</v>
      </c>
      <c r="B156" s="48">
        <v>23</v>
      </c>
      <c r="C156" s="47" t="s">
        <v>74</v>
      </c>
      <c r="D156" s="47" t="s">
        <v>19</v>
      </c>
      <c r="E156" s="47" t="s">
        <v>91</v>
      </c>
      <c r="F156" s="47">
        <v>2016</v>
      </c>
      <c r="G156" s="15">
        <v>8129</v>
      </c>
      <c r="H156" s="15">
        <v>3453</v>
      </c>
      <c r="I156" s="15">
        <v>4676</v>
      </c>
      <c r="J156" s="15">
        <v>25788</v>
      </c>
      <c r="K156" s="15">
        <v>109</v>
      </c>
      <c r="L156" s="15"/>
      <c r="M156" s="15"/>
      <c r="N156" s="15">
        <v>6630</v>
      </c>
      <c r="O156" s="15">
        <v>83021.163387304725</v>
      </c>
      <c r="P156" s="15">
        <v>4139</v>
      </c>
      <c r="Q156" s="15">
        <v>8052</v>
      </c>
      <c r="R156" s="15">
        <v>2031</v>
      </c>
      <c r="S156" s="15">
        <v>1707</v>
      </c>
      <c r="T156" s="15">
        <v>1991</v>
      </c>
      <c r="U156" s="15">
        <v>3176</v>
      </c>
      <c r="V156" s="15">
        <v>3422</v>
      </c>
      <c r="W156" s="15">
        <v>1830</v>
      </c>
      <c r="X156" s="15">
        <v>2146</v>
      </c>
      <c r="Y156" s="15">
        <v>2025</v>
      </c>
      <c r="Z156" s="15">
        <v>8129</v>
      </c>
      <c r="AA156" s="15">
        <v>95403303.569999993</v>
      </c>
      <c r="AB156" s="15">
        <v>403</v>
      </c>
      <c r="AC156" s="15">
        <v>7425</v>
      </c>
      <c r="AD156" s="15">
        <v>368</v>
      </c>
      <c r="AE156" s="15">
        <v>320</v>
      </c>
      <c r="AF156" s="15">
        <v>771</v>
      </c>
      <c r="AG156" s="15">
        <v>209</v>
      </c>
      <c r="AH156" s="15">
        <v>259</v>
      </c>
      <c r="AI156" s="15">
        <v>101</v>
      </c>
      <c r="AJ156" s="15">
        <v>13</v>
      </c>
      <c r="AK156" s="15">
        <v>7</v>
      </c>
      <c r="AL156" s="15">
        <v>8129</v>
      </c>
      <c r="AM156" s="15">
        <v>73</v>
      </c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1:56" hidden="1" x14ac:dyDescent="0.25">
      <c r="A157" s="47" t="s">
        <v>49</v>
      </c>
      <c r="B157" s="48">
        <v>24</v>
      </c>
      <c r="C157" s="47" t="s">
        <v>75</v>
      </c>
      <c r="D157" s="47" t="s">
        <v>20</v>
      </c>
      <c r="E157" s="47" t="s">
        <v>91</v>
      </c>
      <c r="F157" s="47">
        <v>2016</v>
      </c>
      <c r="G157" s="15">
        <v>5400</v>
      </c>
      <c r="H157" s="15">
        <v>2244</v>
      </c>
      <c r="I157" s="15">
        <v>3156</v>
      </c>
      <c r="J157" s="15">
        <v>49538</v>
      </c>
      <c r="K157" s="15">
        <v>90</v>
      </c>
      <c r="L157" s="15"/>
      <c r="M157" s="15"/>
      <c r="N157" s="15">
        <v>4212</v>
      </c>
      <c r="O157" s="15">
        <v>160457.85376460687</v>
      </c>
      <c r="P157" s="15">
        <v>2723</v>
      </c>
      <c r="Q157" s="15">
        <v>5220</v>
      </c>
      <c r="R157" s="15">
        <v>1143</v>
      </c>
      <c r="S157" s="15">
        <v>2096</v>
      </c>
      <c r="T157" s="15">
        <v>1230</v>
      </c>
      <c r="U157" s="15">
        <v>2310</v>
      </c>
      <c r="V157" s="15">
        <v>2113</v>
      </c>
      <c r="W157" s="15">
        <v>980</v>
      </c>
      <c r="X157" s="15">
        <v>1065</v>
      </c>
      <c r="Y157" s="15">
        <v>1005</v>
      </c>
      <c r="Z157" s="15">
        <v>5400</v>
      </c>
      <c r="AA157" s="15">
        <v>83475628.680000007</v>
      </c>
      <c r="AB157" s="15">
        <v>288</v>
      </c>
      <c r="AC157" s="15">
        <v>4678</v>
      </c>
      <c r="AD157" s="15">
        <v>298</v>
      </c>
      <c r="AE157" s="15">
        <v>375</v>
      </c>
      <c r="AF157" s="15">
        <v>427</v>
      </c>
      <c r="AG157" s="15">
        <v>150</v>
      </c>
      <c r="AH157" s="15">
        <v>145</v>
      </c>
      <c r="AI157" s="15">
        <v>4290</v>
      </c>
      <c r="AJ157" s="15">
        <v>71</v>
      </c>
      <c r="AK157" s="15">
        <v>5</v>
      </c>
      <c r="AL157" s="15">
        <v>5400</v>
      </c>
      <c r="AM157" s="15">
        <v>282</v>
      </c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1:56" hidden="1" x14ac:dyDescent="0.25">
      <c r="A158" s="47" t="s">
        <v>49</v>
      </c>
      <c r="B158" s="48">
        <v>25</v>
      </c>
      <c r="C158" s="47" t="s">
        <v>76</v>
      </c>
      <c r="D158" s="47" t="s">
        <v>21</v>
      </c>
      <c r="E158" s="47" t="s">
        <v>91</v>
      </c>
      <c r="F158" s="47">
        <v>2016</v>
      </c>
      <c r="G158" s="15">
        <v>7854</v>
      </c>
      <c r="H158" s="15">
        <v>2997</v>
      </c>
      <c r="I158" s="15">
        <v>4857</v>
      </c>
      <c r="J158" s="15">
        <v>43587</v>
      </c>
      <c r="K158" s="15">
        <v>216</v>
      </c>
      <c r="L158" s="15"/>
      <c r="M158" s="15"/>
      <c r="N158" s="15">
        <v>6793</v>
      </c>
      <c r="O158" s="15">
        <v>164736.19777176625</v>
      </c>
      <c r="P158" s="15">
        <v>3401</v>
      </c>
      <c r="Q158" s="15">
        <v>8506</v>
      </c>
      <c r="R158" s="15">
        <v>2539</v>
      </c>
      <c r="S158" s="15">
        <v>2666</v>
      </c>
      <c r="T158" s="15">
        <v>2391</v>
      </c>
      <c r="U158" s="15">
        <v>3737</v>
      </c>
      <c r="V158" s="15">
        <v>3734</v>
      </c>
      <c r="W158" s="15">
        <v>2335</v>
      </c>
      <c r="X158" s="15">
        <v>2267</v>
      </c>
      <c r="Y158" s="15">
        <v>2224</v>
      </c>
      <c r="Z158" s="15">
        <v>7854</v>
      </c>
      <c r="AA158" s="15">
        <v>211443635.19</v>
      </c>
      <c r="AB158" s="15">
        <v>525</v>
      </c>
      <c r="AC158" s="15">
        <v>7915</v>
      </c>
      <c r="AD158" s="15">
        <v>516</v>
      </c>
      <c r="AE158" s="15">
        <v>376</v>
      </c>
      <c r="AF158" s="15">
        <v>1117</v>
      </c>
      <c r="AG158" s="15">
        <v>310</v>
      </c>
      <c r="AH158" s="15">
        <v>470</v>
      </c>
      <c r="AI158" s="15">
        <v>331</v>
      </c>
      <c r="AJ158" s="15">
        <v>53</v>
      </c>
      <c r="AK158" s="15">
        <v>15</v>
      </c>
      <c r="AL158" s="15">
        <v>7854</v>
      </c>
      <c r="AM158" s="15">
        <v>12</v>
      </c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1:56" hidden="1" x14ac:dyDescent="0.25">
      <c r="A159" s="47" t="s">
        <v>49</v>
      </c>
      <c r="B159" s="48">
        <v>26</v>
      </c>
      <c r="C159" s="47" t="s">
        <v>77</v>
      </c>
      <c r="D159" s="47" t="s">
        <v>22</v>
      </c>
      <c r="E159" s="47" t="s">
        <v>91</v>
      </c>
      <c r="F159" s="47">
        <v>2016</v>
      </c>
      <c r="G159" s="15">
        <v>15385</v>
      </c>
      <c r="H159" s="15">
        <v>7175</v>
      </c>
      <c r="I159" s="15">
        <v>8210</v>
      </c>
      <c r="J159" s="15">
        <v>59864</v>
      </c>
      <c r="K159" s="15">
        <v>258</v>
      </c>
      <c r="L159" s="15"/>
      <c r="M159" s="15"/>
      <c r="N159" s="15">
        <v>12734</v>
      </c>
      <c r="O159" s="15">
        <v>159265.55746443506</v>
      </c>
      <c r="P159" s="15">
        <v>7310</v>
      </c>
      <c r="Q159" s="15">
        <v>14044</v>
      </c>
      <c r="R159" s="15">
        <v>2786</v>
      </c>
      <c r="S159" s="15">
        <v>6746</v>
      </c>
      <c r="T159" s="15">
        <v>2671</v>
      </c>
      <c r="U159" s="15">
        <v>5937</v>
      </c>
      <c r="V159" s="15">
        <v>5501</v>
      </c>
      <c r="W159" s="15">
        <v>2385</v>
      </c>
      <c r="X159" s="15">
        <v>2143</v>
      </c>
      <c r="Y159" s="15">
        <v>1816</v>
      </c>
      <c r="Z159" s="15">
        <v>15385</v>
      </c>
      <c r="AA159" s="15">
        <v>214571296.80000001</v>
      </c>
      <c r="AB159" s="15">
        <v>570</v>
      </c>
      <c r="AC159" s="15">
        <v>12723</v>
      </c>
      <c r="AD159" s="15">
        <v>498</v>
      </c>
      <c r="AE159" s="15">
        <v>519</v>
      </c>
      <c r="AF159" s="15">
        <v>857</v>
      </c>
      <c r="AG159" s="15">
        <v>277</v>
      </c>
      <c r="AH159" s="15">
        <v>405</v>
      </c>
      <c r="AI159" s="15">
        <v>7200</v>
      </c>
      <c r="AJ159" s="15">
        <v>587</v>
      </c>
      <c r="AK159" s="15">
        <v>6</v>
      </c>
      <c r="AL159" s="15">
        <v>9000.2250000000004</v>
      </c>
      <c r="AM159" s="15">
        <v>0</v>
      </c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1:56" hidden="1" x14ac:dyDescent="0.25">
      <c r="A160" s="47" t="s">
        <v>49</v>
      </c>
      <c r="B160" s="48">
        <v>27</v>
      </c>
      <c r="C160" s="47" t="s">
        <v>78</v>
      </c>
      <c r="D160" s="47" t="s">
        <v>23</v>
      </c>
      <c r="E160" s="47" t="s">
        <v>91</v>
      </c>
      <c r="F160" s="47">
        <v>2016</v>
      </c>
      <c r="G160" s="15">
        <v>5584</v>
      </c>
      <c r="H160" s="15">
        <v>2109</v>
      </c>
      <c r="I160" s="15">
        <v>3475</v>
      </c>
      <c r="J160" s="15">
        <v>41493</v>
      </c>
      <c r="K160" s="15">
        <v>76</v>
      </c>
      <c r="L160" s="15"/>
      <c r="M160" s="15"/>
      <c r="N160" s="15">
        <v>4726</v>
      </c>
      <c r="O160" s="15">
        <v>133909.77929229953</v>
      </c>
      <c r="P160" s="15">
        <v>2169</v>
      </c>
      <c r="Q160" s="15">
        <v>5739</v>
      </c>
      <c r="R160" s="15">
        <v>1492</v>
      </c>
      <c r="S160" s="15">
        <v>1456</v>
      </c>
      <c r="T160" s="15">
        <v>1225</v>
      </c>
      <c r="U160" s="15">
        <v>1976</v>
      </c>
      <c r="V160" s="15">
        <v>2164</v>
      </c>
      <c r="W160" s="15">
        <v>1341</v>
      </c>
      <c r="X160" s="15">
        <v>1319</v>
      </c>
      <c r="Y160" s="15">
        <v>1268</v>
      </c>
      <c r="Z160" s="15">
        <v>5584</v>
      </c>
      <c r="AA160" s="15">
        <v>106609849.48</v>
      </c>
      <c r="AB160" s="15">
        <v>293</v>
      </c>
      <c r="AC160" s="15">
        <v>5223</v>
      </c>
      <c r="AD160" s="15">
        <v>308</v>
      </c>
      <c r="AE160" s="15">
        <v>270</v>
      </c>
      <c r="AF160" s="15">
        <v>484</v>
      </c>
      <c r="AG160" s="15">
        <v>103</v>
      </c>
      <c r="AH160" s="15">
        <v>187</v>
      </c>
      <c r="AI160" s="15">
        <v>1976</v>
      </c>
      <c r="AJ160" s="15">
        <v>129</v>
      </c>
      <c r="AK160" s="15">
        <v>5</v>
      </c>
      <c r="AL160" s="15">
        <v>3646.3520000000003</v>
      </c>
      <c r="AM160" s="15">
        <v>28</v>
      </c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1:56" hidden="1" x14ac:dyDescent="0.25">
      <c r="A161" s="47" t="s">
        <v>49</v>
      </c>
      <c r="B161" s="48">
        <v>28</v>
      </c>
      <c r="C161" s="47" t="s">
        <v>79</v>
      </c>
      <c r="D161" s="47" t="s">
        <v>24</v>
      </c>
      <c r="E161" s="47" t="s">
        <v>91</v>
      </c>
      <c r="F161" s="47">
        <v>2016</v>
      </c>
      <c r="G161" s="15">
        <v>8929</v>
      </c>
      <c r="H161" s="15">
        <v>3648</v>
      </c>
      <c r="I161" s="15">
        <v>5281</v>
      </c>
      <c r="J161" s="15">
        <v>57183</v>
      </c>
      <c r="K161" s="15">
        <v>157</v>
      </c>
      <c r="L161" s="15"/>
      <c r="M161" s="15"/>
      <c r="N161" s="15">
        <v>7552</v>
      </c>
      <c r="O161" s="15">
        <v>187483.87275360705</v>
      </c>
      <c r="P161" s="15">
        <v>4049</v>
      </c>
      <c r="Q161" s="15">
        <v>9004</v>
      </c>
      <c r="R161" s="15">
        <v>2056</v>
      </c>
      <c r="S161" s="15">
        <v>3009</v>
      </c>
      <c r="T161" s="15">
        <v>1878</v>
      </c>
      <c r="U161" s="15">
        <v>3417</v>
      </c>
      <c r="V161" s="15">
        <v>3644</v>
      </c>
      <c r="W161" s="15">
        <v>1856</v>
      </c>
      <c r="X161" s="15">
        <v>2058</v>
      </c>
      <c r="Y161" s="15">
        <v>1851</v>
      </c>
      <c r="Z161" s="15">
        <v>8929</v>
      </c>
      <c r="AA161" s="15">
        <v>165592499.62</v>
      </c>
      <c r="AB161" s="15">
        <v>397</v>
      </c>
      <c r="AC161" s="15">
        <v>8276</v>
      </c>
      <c r="AD161" s="15">
        <v>366</v>
      </c>
      <c r="AE161" s="15">
        <v>342</v>
      </c>
      <c r="AF161" s="15">
        <v>1077</v>
      </c>
      <c r="AG161" s="15">
        <v>189</v>
      </c>
      <c r="AH161" s="15">
        <v>291</v>
      </c>
      <c r="AI161" s="15">
        <v>3556</v>
      </c>
      <c r="AJ161" s="15">
        <v>82</v>
      </c>
      <c r="AK161" s="15">
        <v>8</v>
      </c>
      <c r="AL161" s="15">
        <v>8929</v>
      </c>
      <c r="AM161" s="15">
        <v>110</v>
      </c>
      <c r="AN161" s="15">
        <v>692</v>
      </c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1:56" hidden="1" x14ac:dyDescent="0.25">
      <c r="A162" s="47" t="s">
        <v>49</v>
      </c>
      <c r="B162" s="48">
        <v>29</v>
      </c>
      <c r="C162" s="47" t="s">
        <v>80</v>
      </c>
      <c r="D162" s="47" t="s">
        <v>25</v>
      </c>
      <c r="E162" s="47" t="s">
        <v>91</v>
      </c>
      <c r="F162" s="47">
        <v>2016</v>
      </c>
      <c r="G162" s="15">
        <v>3036</v>
      </c>
      <c r="H162" s="15">
        <v>1333</v>
      </c>
      <c r="I162" s="15">
        <v>1703</v>
      </c>
      <c r="J162" s="15">
        <v>24542</v>
      </c>
      <c r="K162" s="15">
        <v>48</v>
      </c>
      <c r="L162" s="15"/>
      <c r="M162" s="15"/>
      <c r="N162" s="15">
        <v>2707</v>
      </c>
      <c r="O162" s="15">
        <v>74007.270653160027</v>
      </c>
      <c r="P162" s="15">
        <v>1482</v>
      </c>
      <c r="Q162" s="15">
        <v>2848</v>
      </c>
      <c r="R162" s="15">
        <v>730</v>
      </c>
      <c r="S162" s="15">
        <v>861</v>
      </c>
      <c r="T162" s="15">
        <v>678</v>
      </c>
      <c r="U162" s="15">
        <v>1065</v>
      </c>
      <c r="V162" s="15">
        <v>1269</v>
      </c>
      <c r="W162" s="15">
        <v>604</v>
      </c>
      <c r="X162" s="15">
        <v>655</v>
      </c>
      <c r="Y162" s="15">
        <v>653</v>
      </c>
      <c r="Z162" s="15">
        <v>3036</v>
      </c>
      <c r="AA162" s="15">
        <v>40424161.539999999</v>
      </c>
      <c r="AB162" s="15">
        <v>172</v>
      </c>
      <c r="AC162" s="15">
        <v>2603</v>
      </c>
      <c r="AD162" s="15">
        <v>358</v>
      </c>
      <c r="AE162" s="15">
        <v>447</v>
      </c>
      <c r="AF162" s="15">
        <v>455</v>
      </c>
      <c r="AG162" s="15">
        <v>75</v>
      </c>
      <c r="AH162" s="15">
        <v>73</v>
      </c>
      <c r="AI162" s="15">
        <v>59</v>
      </c>
      <c r="AJ162" s="15">
        <v>42</v>
      </c>
      <c r="AK162" s="15">
        <v>3</v>
      </c>
      <c r="AL162" s="15">
        <v>3036</v>
      </c>
      <c r="AM162" s="15">
        <v>56</v>
      </c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1:56" hidden="1" x14ac:dyDescent="0.25">
      <c r="A163" s="47" t="s">
        <v>49</v>
      </c>
      <c r="B163" s="48">
        <v>30</v>
      </c>
      <c r="C163" s="47" t="s">
        <v>81</v>
      </c>
      <c r="D163" s="47" t="s">
        <v>53</v>
      </c>
      <c r="E163" s="47" t="s">
        <v>91</v>
      </c>
      <c r="F163" s="47">
        <v>2016</v>
      </c>
      <c r="G163" s="15">
        <v>9302</v>
      </c>
      <c r="H163" s="15">
        <v>3448</v>
      </c>
      <c r="I163" s="15">
        <v>5854</v>
      </c>
      <c r="J163" s="15">
        <v>139073</v>
      </c>
      <c r="K163" s="15">
        <v>176</v>
      </c>
      <c r="L163" s="15"/>
      <c r="M163" s="15"/>
      <c r="N163" s="15">
        <v>7792</v>
      </c>
      <c r="O163" s="15">
        <v>442000.15162501682</v>
      </c>
      <c r="P163" s="15">
        <v>5408</v>
      </c>
      <c r="Q163" s="15">
        <v>9327</v>
      </c>
      <c r="R163" s="15">
        <v>2338</v>
      </c>
      <c r="S163" s="15">
        <v>2147</v>
      </c>
      <c r="T163" s="15">
        <v>2363</v>
      </c>
      <c r="U163" s="15">
        <v>3724</v>
      </c>
      <c r="V163" s="15">
        <v>3472</v>
      </c>
      <c r="W163" s="15">
        <v>2121</v>
      </c>
      <c r="X163" s="15">
        <v>2271</v>
      </c>
      <c r="Y163" s="15">
        <v>2135</v>
      </c>
      <c r="Z163" s="15">
        <v>9302</v>
      </c>
      <c r="AA163" s="15">
        <v>217163897.13</v>
      </c>
      <c r="AB163" s="15">
        <v>553</v>
      </c>
      <c r="AC163" s="15">
        <v>8854</v>
      </c>
      <c r="AD163" s="15">
        <v>445</v>
      </c>
      <c r="AE163" s="15">
        <v>432</v>
      </c>
      <c r="AF163" s="15">
        <v>1543</v>
      </c>
      <c r="AG163" s="15">
        <v>318</v>
      </c>
      <c r="AH163" s="15">
        <v>397</v>
      </c>
      <c r="AI163" s="15">
        <v>5370</v>
      </c>
      <c r="AJ163" s="15">
        <v>280</v>
      </c>
      <c r="AK163" s="15">
        <v>11</v>
      </c>
      <c r="AL163" s="15">
        <v>8688.0680000000011</v>
      </c>
      <c r="AM163" s="15">
        <v>499</v>
      </c>
      <c r="AN163" s="15">
        <v>601</v>
      </c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1:56" hidden="1" x14ac:dyDescent="0.25">
      <c r="A164" s="47" t="s">
        <v>49</v>
      </c>
      <c r="B164" s="48">
        <v>31</v>
      </c>
      <c r="C164" s="47" t="s">
        <v>82</v>
      </c>
      <c r="D164" s="47" t="s">
        <v>26</v>
      </c>
      <c r="E164" s="47" t="s">
        <v>91</v>
      </c>
      <c r="F164" s="47">
        <v>2016</v>
      </c>
      <c r="G164" s="15">
        <v>5114</v>
      </c>
      <c r="H164" s="15">
        <v>2046</v>
      </c>
      <c r="I164" s="15">
        <v>3068</v>
      </c>
      <c r="J164" s="15">
        <v>33197</v>
      </c>
      <c r="K164" s="15">
        <v>69</v>
      </c>
      <c r="L164" s="15"/>
      <c r="M164" s="15"/>
      <c r="N164" s="15">
        <v>3718</v>
      </c>
      <c r="O164" s="15">
        <v>110921.77471538878</v>
      </c>
      <c r="P164" s="15">
        <v>2642</v>
      </c>
      <c r="Q164" s="15">
        <v>4839</v>
      </c>
      <c r="R164" s="15">
        <v>1110</v>
      </c>
      <c r="S164" s="15">
        <v>1488</v>
      </c>
      <c r="T164" s="15">
        <v>997</v>
      </c>
      <c r="U164" s="15">
        <v>1953</v>
      </c>
      <c r="V164" s="15">
        <v>1841</v>
      </c>
      <c r="W164" s="15">
        <v>982</v>
      </c>
      <c r="X164" s="15">
        <v>899</v>
      </c>
      <c r="Y164" s="15">
        <v>739</v>
      </c>
      <c r="Z164" s="15">
        <v>5114</v>
      </c>
      <c r="AA164" s="15">
        <v>96311307.430000007</v>
      </c>
      <c r="AB164" s="15">
        <v>271</v>
      </c>
      <c r="AC164" s="15">
        <v>4611</v>
      </c>
      <c r="AD164" s="15">
        <v>313</v>
      </c>
      <c r="AE164" s="15">
        <v>269</v>
      </c>
      <c r="AF164" s="15">
        <v>484</v>
      </c>
      <c r="AG164" s="15">
        <v>158</v>
      </c>
      <c r="AH164" s="15">
        <v>154</v>
      </c>
      <c r="AI164" s="15">
        <v>3318</v>
      </c>
      <c r="AJ164" s="15">
        <v>472</v>
      </c>
      <c r="AK164" s="15">
        <v>5</v>
      </c>
      <c r="AL164" s="15">
        <v>5114</v>
      </c>
      <c r="AM164" s="15">
        <v>132</v>
      </c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1:56" hidden="1" x14ac:dyDescent="0.25">
      <c r="A165" s="47" t="s">
        <v>49</v>
      </c>
      <c r="B165" s="48">
        <v>32</v>
      </c>
      <c r="C165" s="47" t="s">
        <v>83</v>
      </c>
      <c r="D165" s="47" t="s">
        <v>27</v>
      </c>
      <c r="E165" s="47" t="s">
        <v>91</v>
      </c>
      <c r="F165" s="47">
        <v>2016</v>
      </c>
      <c r="G165" s="15">
        <v>1610</v>
      </c>
      <c r="H165" s="15">
        <v>736</v>
      </c>
      <c r="I165" s="15">
        <v>874</v>
      </c>
      <c r="J165" s="15">
        <v>30072</v>
      </c>
      <c r="K165" s="15">
        <v>51</v>
      </c>
      <c r="L165" s="15"/>
      <c r="M165" s="15"/>
      <c r="N165" s="15">
        <v>1243</v>
      </c>
      <c r="O165" s="15">
        <v>90115.842866702355</v>
      </c>
      <c r="P165" s="15">
        <v>812</v>
      </c>
      <c r="Q165" s="15">
        <v>1719</v>
      </c>
      <c r="R165" s="15">
        <v>348</v>
      </c>
      <c r="S165" s="15">
        <v>824</v>
      </c>
      <c r="T165" s="15">
        <v>297</v>
      </c>
      <c r="U165" s="15">
        <v>704</v>
      </c>
      <c r="V165" s="15">
        <v>801</v>
      </c>
      <c r="W165" s="15">
        <v>292</v>
      </c>
      <c r="X165" s="15">
        <v>267</v>
      </c>
      <c r="Y165" s="15">
        <v>256</v>
      </c>
      <c r="Z165" s="15">
        <v>1610</v>
      </c>
      <c r="AA165" s="15">
        <v>35206510.600000001</v>
      </c>
      <c r="AB165" s="15">
        <v>76</v>
      </c>
      <c r="AC165" s="15">
        <v>1475</v>
      </c>
      <c r="AD165" s="15">
        <v>171</v>
      </c>
      <c r="AE165" s="15">
        <v>180</v>
      </c>
      <c r="AF165" s="15">
        <v>197</v>
      </c>
      <c r="AG165" s="15">
        <v>62</v>
      </c>
      <c r="AH165" s="15">
        <v>76</v>
      </c>
      <c r="AI165" s="15">
        <v>543</v>
      </c>
      <c r="AJ165" s="15">
        <v>151</v>
      </c>
      <c r="AK165" s="15">
        <v>2</v>
      </c>
      <c r="AL165" s="15">
        <v>1376.55</v>
      </c>
      <c r="AM165" s="15">
        <v>0</v>
      </c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1:56" hidden="1" x14ac:dyDescent="0.25">
      <c r="A166" s="47" t="s">
        <v>134</v>
      </c>
      <c r="B166" s="48">
        <v>33</v>
      </c>
      <c r="C166" s="47" t="s">
        <v>135</v>
      </c>
      <c r="D166" s="47" t="s">
        <v>40</v>
      </c>
      <c r="E166" s="47" t="s">
        <v>91</v>
      </c>
      <c r="F166" s="47">
        <v>2016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>
        <v>223</v>
      </c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1:56" hidden="1" x14ac:dyDescent="0.25">
      <c r="A167" s="49" t="s">
        <v>49</v>
      </c>
      <c r="B167" s="50">
        <v>1</v>
      </c>
      <c r="C167" s="49" t="s">
        <v>54</v>
      </c>
      <c r="D167" s="49" t="s">
        <v>1</v>
      </c>
      <c r="E167" s="49" t="s">
        <v>47</v>
      </c>
      <c r="F167" s="49">
        <v>2017</v>
      </c>
      <c r="G167" s="16">
        <v>4662</v>
      </c>
      <c r="H167" s="16">
        <v>1771</v>
      </c>
      <c r="I167" s="16">
        <v>2891</v>
      </c>
      <c r="J167" s="16">
        <v>23120</v>
      </c>
      <c r="K167" s="16">
        <v>90</v>
      </c>
      <c r="L167" s="16">
        <v>10</v>
      </c>
      <c r="M167" s="16">
        <v>18</v>
      </c>
      <c r="N167" s="16">
        <v>4325</v>
      </c>
      <c r="O167" s="16">
        <v>75598.148803457036</v>
      </c>
      <c r="P167" s="16">
        <v>2788</v>
      </c>
      <c r="Q167" s="16">
        <v>4628</v>
      </c>
      <c r="R167" s="16">
        <v>1327</v>
      </c>
      <c r="S167" s="16">
        <v>1379</v>
      </c>
      <c r="T167" s="16">
        <v>1218</v>
      </c>
      <c r="U167" s="16">
        <v>1859</v>
      </c>
      <c r="V167" s="16">
        <v>1860</v>
      </c>
      <c r="W167" s="16">
        <v>1194</v>
      </c>
      <c r="X167" s="16">
        <v>1021</v>
      </c>
      <c r="Y167" s="16">
        <v>930</v>
      </c>
      <c r="Z167" s="16">
        <v>4662</v>
      </c>
      <c r="AA167" s="16">
        <v>62940244.950000003</v>
      </c>
      <c r="AB167" s="16">
        <v>278</v>
      </c>
      <c r="AC167" s="16">
        <v>4462</v>
      </c>
      <c r="AD167" s="16">
        <v>287</v>
      </c>
      <c r="AE167" s="16">
        <v>236</v>
      </c>
      <c r="AF167" s="16">
        <v>429</v>
      </c>
      <c r="AG167" s="16">
        <v>125</v>
      </c>
      <c r="AH167" s="16">
        <v>146</v>
      </c>
      <c r="AI167" s="16">
        <v>3677</v>
      </c>
      <c r="AJ167" s="16">
        <v>334</v>
      </c>
      <c r="AK167" s="16">
        <v>0</v>
      </c>
      <c r="AL167" s="16">
        <v>0</v>
      </c>
      <c r="AM167" s="16">
        <v>861</v>
      </c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hidden="1" x14ac:dyDescent="0.25">
      <c r="A168" s="49" t="s">
        <v>49</v>
      </c>
      <c r="B168" s="50">
        <v>2</v>
      </c>
      <c r="C168" s="49" t="s">
        <v>55</v>
      </c>
      <c r="D168" s="49" t="s">
        <v>3</v>
      </c>
      <c r="E168" s="49" t="s">
        <v>47</v>
      </c>
      <c r="F168" s="49">
        <v>2017</v>
      </c>
      <c r="G168" s="16">
        <v>8249</v>
      </c>
      <c r="H168" s="16">
        <v>3372</v>
      </c>
      <c r="I168" s="16">
        <v>4877</v>
      </c>
      <c r="J168" s="16">
        <v>57195</v>
      </c>
      <c r="K168" s="16">
        <v>123</v>
      </c>
      <c r="L168" s="16">
        <v>22</v>
      </c>
      <c r="M168" s="16">
        <v>20</v>
      </c>
      <c r="N168" s="16">
        <v>6428</v>
      </c>
      <c r="O168" s="16">
        <v>187686.64734289853</v>
      </c>
      <c r="P168" s="16">
        <v>3870</v>
      </c>
      <c r="Q168" s="16">
        <v>8090</v>
      </c>
      <c r="R168" s="16">
        <v>1495</v>
      </c>
      <c r="S168" s="16">
        <v>3591</v>
      </c>
      <c r="T168" s="16">
        <v>1711</v>
      </c>
      <c r="U168" s="16">
        <v>3424</v>
      </c>
      <c r="V168" s="16">
        <v>3277</v>
      </c>
      <c r="W168" s="16">
        <v>1263</v>
      </c>
      <c r="X168" s="16">
        <v>1348</v>
      </c>
      <c r="Y168" s="16">
        <v>1238</v>
      </c>
      <c r="Z168" s="16">
        <v>8249</v>
      </c>
      <c r="AA168" s="16">
        <v>134453006.91000003</v>
      </c>
      <c r="AB168" s="16">
        <v>385</v>
      </c>
      <c r="AC168" s="16">
        <v>7058</v>
      </c>
      <c r="AD168" s="16">
        <v>275</v>
      </c>
      <c r="AE168" s="16">
        <v>399</v>
      </c>
      <c r="AF168" s="16">
        <v>749</v>
      </c>
      <c r="AG168" s="16">
        <v>156</v>
      </c>
      <c r="AH168" s="16">
        <v>203</v>
      </c>
      <c r="AI168" s="16">
        <v>3022</v>
      </c>
      <c r="AJ168" s="16">
        <v>138</v>
      </c>
      <c r="AK168" s="16">
        <v>6</v>
      </c>
      <c r="AL168" s="16">
        <v>8249</v>
      </c>
      <c r="AM168" s="16">
        <v>40</v>
      </c>
      <c r="AN168" s="16">
        <v>254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hidden="1" x14ac:dyDescent="0.25">
      <c r="A169" s="49" t="s">
        <v>49</v>
      </c>
      <c r="B169" s="50">
        <v>3</v>
      </c>
      <c r="C169" s="49" t="s">
        <v>56</v>
      </c>
      <c r="D169" s="49" t="s">
        <v>4</v>
      </c>
      <c r="E169" s="49" t="s">
        <v>47</v>
      </c>
      <c r="F169" s="49">
        <v>2017</v>
      </c>
      <c r="G169" s="16">
        <v>1664</v>
      </c>
      <c r="H169" s="16">
        <v>572</v>
      </c>
      <c r="I169" s="16">
        <v>1092</v>
      </c>
      <c r="J169" s="16">
        <v>12013</v>
      </c>
      <c r="K169" s="16">
        <v>18</v>
      </c>
      <c r="L169" s="16">
        <v>5</v>
      </c>
      <c r="M169" s="16">
        <v>1</v>
      </c>
      <c r="N169" s="16">
        <v>1234</v>
      </c>
      <c r="O169" s="16">
        <v>41868.59660841593</v>
      </c>
      <c r="P169" s="16">
        <v>882</v>
      </c>
      <c r="Q169" s="16">
        <v>1878</v>
      </c>
      <c r="R169" s="16">
        <v>438</v>
      </c>
      <c r="S169" s="16">
        <v>1654</v>
      </c>
      <c r="T169" s="16">
        <v>516</v>
      </c>
      <c r="U169" s="16">
        <v>858</v>
      </c>
      <c r="V169" s="16">
        <v>709</v>
      </c>
      <c r="W169" s="16">
        <v>352</v>
      </c>
      <c r="X169" s="16">
        <v>455</v>
      </c>
      <c r="Y169" s="16">
        <v>422</v>
      </c>
      <c r="Z169" s="16">
        <v>1664</v>
      </c>
      <c r="AA169" s="16">
        <v>33737522.760000005</v>
      </c>
      <c r="AB169" s="16">
        <v>86</v>
      </c>
      <c r="AC169" s="16">
        <v>1670</v>
      </c>
      <c r="AD169" s="16">
        <v>153</v>
      </c>
      <c r="AE169" s="16">
        <v>148</v>
      </c>
      <c r="AF169" s="16">
        <v>217</v>
      </c>
      <c r="AG169" s="16">
        <v>43</v>
      </c>
      <c r="AH169" s="16">
        <v>59</v>
      </c>
      <c r="AI169" s="16">
        <v>792</v>
      </c>
      <c r="AJ169" s="16">
        <v>42</v>
      </c>
      <c r="AK169" s="16">
        <v>1</v>
      </c>
      <c r="AL169" s="16">
        <v>1068.288</v>
      </c>
      <c r="AM169" s="16">
        <v>1</v>
      </c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hidden="1" x14ac:dyDescent="0.25">
      <c r="A170" s="49" t="s">
        <v>49</v>
      </c>
      <c r="B170" s="50">
        <v>4</v>
      </c>
      <c r="C170" s="49" t="s">
        <v>57</v>
      </c>
      <c r="D170" s="49" t="s">
        <v>5</v>
      </c>
      <c r="E170" s="49" t="s">
        <v>47</v>
      </c>
      <c r="F170" s="49">
        <v>2017</v>
      </c>
      <c r="G170" s="16">
        <v>1809</v>
      </c>
      <c r="H170" s="16">
        <v>726</v>
      </c>
      <c r="I170" s="16">
        <v>1083</v>
      </c>
      <c r="J170" s="16">
        <v>15003</v>
      </c>
      <c r="K170" s="16">
        <v>40</v>
      </c>
      <c r="L170" s="16">
        <v>9</v>
      </c>
      <c r="M170" s="16">
        <v>12</v>
      </c>
      <c r="N170" s="16">
        <v>1279</v>
      </c>
      <c r="O170" s="16">
        <v>48445.133432320828</v>
      </c>
      <c r="P170" s="16">
        <v>836</v>
      </c>
      <c r="Q170" s="16">
        <v>1835</v>
      </c>
      <c r="R170" s="16">
        <v>406</v>
      </c>
      <c r="S170" s="16">
        <v>575</v>
      </c>
      <c r="T170" s="16">
        <v>412</v>
      </c>
      <c r="U170" s="16">
        <v>802</v>
      </c>
      <c r="V170" s="16">
        <v>744</v>
      </c>
      <c r="W170" s="16">
        <v>348</v>
      </c>
      <c r="X170" s="16">
        <v>337</v>
      </c>
      <c r="Y170" s="16">
        <v>289</v>
      </c>
      <c r="Z170" s="16">
        <v>1809</v>
      </c>
      <c r="AA170" s="16">
        <v>40377865.43</v>
      </c>
      <c r="AB170" s="16">
        <v>104</v>
      </c>
      <c r="AC170" s="16">
        <v>1617</v>
      </c>
      <c r="AD170" s="16">
        <v>152</v>
      </c>
      <c r="AE170" s="16">
        <v>202</v>
      </c>
      <c r="AF170" s="16">
        <v>331</v>
      </c>
      <c r="AG170" s="16">
        <v>77</v>
      </c>
      <c r="AH170" s="16">
        <v>71</v>
      </c>
      <c r="AI170" s="16">
        <v>236</v>
      </c>
      <c r="AJ170" s="16">
        <v>96</v>
      </c>
      <c r="AK170" s="16">
        <v>3</v>
      </c>
      <c r="AL170" s="16">
        <v>1809</v>
      </c>
      <c r="AM170" s="16">
        <v>395</v>
      </c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hidden="1" x14ac:dyDescent="0.25">
      <c r="A171" s="49" t="s">
        <v>49</v>
      </c>
      <c r="B171" s="50">
        <v>7</v>
      </c>
      <c r="C171" s="49" t="s">
        <v>58</v>
      </c>
      <c r="D171" s="49" t="s">
        <v>6</v>
      </c>
      <c r="E171" s="49" t="s">
        <v>47</v>
      </c>
      <c r="F171" s="49">
        <v>2017</v>
      </c>
      <c r="G171" s="16">
        <v>7408</v>
      </c>
      <c r="H171" s="16">
        <v>2680</v>
      </c>
      <c r="I171" s="16">
        <v>4728</v>
      </c>
      <c r="J171" s="16">
        <v>93621</v>
      </c>
      <c r="K171" s="16">
        <v>167</v>
      </c>
      <c r="L171" s="16">
        <v>18</v>
      </c>
      <c r="M171" s="16">
        <v>51</v>
      </c>
      <c r="N171" s="16">
        <v>6135</v>
      </c>
      <c r="O171" s="16">
        <v>339199.38612340792</v>
      </c>
      <c r="P171" s="16">
        <v>3253</v>
      </c>
      <c r="Q171" s="16">
        <v>7553</v>
      </c>
      <c r="R171" s="16">
        <v>1871</v>
      </c>
      <c r="S171" s="16">
        <v>2546</v>
      </c>
      <c r="T171" s="16">
        <v>1816</v>
      </c>
      <c r="U171" s="16">
        <v>2882</v>
      </c>
      <c r="V171" s="16">
        <v>2807</v>
      </c>
      <c r="W171" s="16">
        <v>1669</v>
      </c>
      <c r="X171" s="16">
        <v>1704</v>
      </c>
      <c r="Y171" s="16">
        <v>1459</v>
      </c>
      <c r="Z171" s="16">
        <v>7408</v>
      </c>
      <c r="AA171" s="16">
        <v>154916086.87</v>
      </c>
      <c r="AB171" s="16">
        <v>412</v>
      </c>
      <c r="AC171" s="16">
        <v>7072</v>
      </c>
      <c r="AD171" s="16">
        <v>382</v>
      </c>
      <c r="AE171" s="16">
        <v>462</v>
      </c>
      <c r="AF171" s="16">
        <v>714</v>
      </c>
      <c r="AG171" s="16">
        <v>197</v>
      </c>
      <c r="AH171" s="16">
        <v>234</v>
      </c>
      <c r="AI171" s="16">
        <v>3960</v>
      </c>
      <c r="AJ171" s="16">
        <v>159</v>
      </c>
      <c r="AK171" s="16">
        <v>2</v>
      </c>
      <c r="AL171" s="16">
        <v>2059.424</v>
      </c>
      <c r="AM171" s="16">
        <v>140</v>
      </c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hidden="1" x14ac:dyDescent="0.25">
      <c r="A172" s="49" t="s">
        <v>49</v>
      </c>
      <c r="B172" s="50">
        <v>8</v>
      </c>
      <c r="C172" s="49" t="s">
        <v>59</v>
      </c>
      <c r="D172" s="49" t="s">
        <v>7</v>
      </c>
      <c r="E172" s="49" t="s">
        <v>47</v>
      </c>
      <c r="F172" s="49">
        <v>2017</v>
      </c>
      <c r="G172" s="16">
        <v>9203</v>
      </c>
      <c r="H172" s="16">
        <v>3776</v>
      </c>
      <c r="I172" s="16">
        <v>5427</v>
      </c>
      <c r="J172" s="16">
        <v>55630</v>
      </c>
      <c r="K172" s="16">
        <v>157</v>
      </c>
      <c r="L172" s="16">
        <v>30</v>
      </c>
      <c r="M172" s="16">
        <v>34</v>
      </c>
      <c r="N172" s="16">
        <v>8150</v>
      </c>
      <c r="O172" s="16">
        <v>202962.54778543254</v>
      </c>
      <c r="P172" s="16">
        <v>4315</v>
      </c>
      <c r="Q172" s="16">
        <v>9095</v>
      </c>
      <c r="R172" s="16">
        <v>1927</v>
      </c>
      <c r="S172" s="16">
        <v>3502</v>
      </c>
      <c r="T172" s="16">
        <v>2161</v>
      </c>
      <c r="U172" s="16">
        <v>4195</v>
      </c>
      <c r="V172" s="16">
        <v>3922</v>
      </c>
      <c r="W172" s="16">
        <v>1759</v>
      </c>
      <c r="X172" s="16">
        <v>1887</v>
      </c>
      <c r="Y172" s="16">
        <v>1718</v>
      </c>
      <c r="Z172" s="16">
        <v>9203</v>
      </c>
      <c r="AA172" s="16">
        <v>149622540.54999998</v>
      </c>
      <c r="AB172" s="16">
        <v>537</v>
      </c>
      <c r="AC172" s="16">
        <v>8087</v>
      </c>
      <c r="AD172" s="16">
        <v>294</v>
      </c>
      <c r="AE172" s="16">
        <v>391</v>
      </c>
      <c r="AF172" s="16">
        <v>983</v>
      </c>
      <c r="AG172" s="16">
        <v>165</v>
      </c>
      <c r="AH172" s="16">
        <v>234</v>
      </c>
      <c r="AI172" s="16">
        <v>9869</v>
      </c>
      <c r="AJ172" s="16">
        <v>306</v>
      </c>
      <c r="AK172" s="16">
        <v>6</v>
      </c>
      <c r="AL172" s="16">
        <v>7454.43</v>
      </c>
      <c r="AM172" s="16">
        <v>178</v>
      </c>
      <c r="AN172" s="16">
        <v>688</v>
      </c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hidden="1" x14ac:dyDescent="0.25">
      <c r="A173" s="49" t="s">
        <v>50</v>
      </c>
      <c r="B173" s="50">
        <v>9</v>
      </c>
      <c r="C173" s="49" t="s">
        <v>84</v>
      </c>
      <c r="D173" s="49" t="s">
        <v>32</v>
      </c>
      <c r="E173" s="49" t="s">
        <v>47</v>
      </c>
      <c r="F173" s="49">
        <v>2017</v>
      </c>
      <c r="G173" s="16">
        <v>44212</v>
      </c>
      <c r="H173" s="16">
        <v>18720</v>
      </c>
      <c r="I173" s="16">
        <v>25492</v>
      </c>
      <c r="J173" s="16">
        <v>144092</v>
      </c>
      <c r="K173" s="16">
        <v>579</v>
      </c>
      <c r="L173" s="16">
        <v>101</v>
      </c>
      <c r="M173" s="16">
        <v>146</v>
      </c>
      <c r="N173" s="16">
        <v>35156</v>
      </c>
      <c r="O173" s="16">
        <v>393735.68071603618</v>
      </c>
      <c r="P173" s="16">
        <v>25657</v>
      </c>
      <c r="Q173" s="16">
        <v>44532</v>
      </c>
      <c r="R173" s="16">
        <v>8423</v>
      </c>
      <c r="S173" s="16">
        <v>23750</v>
      </c>
      <c r="T173" s="16">
        <v>8027</v>
      </c>
      <c r="U173" s="16">
        <v>17932</v>
      </c>
      <c r="V173" s="16">
        <v>18370</v>
      </c>
      <c r="W173" s="16">
        <v>7196</v>
      </c>
      <c r="X173" s="16">
        <v>6851</v>
      </c>
      <c r="Y173" s="16">
        <v>4513</v>
      </c>
      <c r="Z173" s="16">
        <v>44212</v>
      </c>
      <c r="AA173" s="16">
        <v>727900113.59000003</v>
      </c>
      <c r="AB173" s="16">
        <v>2140</v>
      </c>
      <c r="AC173" s="16">
        <v>37862</v>
      </c>
      <c r="AD173" s="16">
        <v>1406</v>
      </c>
      <c r="AE173" s="16">
        <v>2361</v>
      </c>
      <c r="AF173" s="16">
        <v>3705</v>
      </c>
      <c r="AG173" s="16">
        <v>946</v>
      </c>
      <c r="AH173" s="16">
        <v>1373</v>
      </c>
      <c r="AI173" s="16">
        <v>10792</v>
      </c>
      <c r="AJ173" s="16">
        <v>637</v>
      </c>
      <c r="AK173" s="16">
        <v>26</v>
      </c>
      <c r="AL173" s="16">
        <v>42885.64</v>
      </c>
      <c r="AM173" s="16">
        <v>1500</v>
      </c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hidden="1" x14ac:dyDescent="0.25">
      <c r="A174" s="49" t="s">
        <v>49</v>
      </c>
      <c r="B174" s="50">
        <v>5</v>
      </c>
      <c r="C174" s="49" t="s">
        <v>60</v>
      </c>
      <c r="D174" s="49" t="s">
        <v>31</v>
      </c>
      <c r="E174" s="49" t="s">
        <v>47</v>
      </c>
      <c r="F174" s="49">
        <v>2017</v>
      </c>
      <c r="G174" s="16">
        <v>10066</v>
      </c>
      <c r="H174" s="16">
        <v>4262</v>
      </c>
      <c r="I174" s="16">
        <v>5804</v>
      </c>
      <c r="J174" s="16">
        <v>60662</v>
      </c>
      <c r="K174" s="16">
        <v>134</v>
      </c>
      <c r="L174" s="16">
        <v>45</v>
      </c>
      <c r="M174" s="16">
        <v>37</v>
      </c>
      <c r="N174" s="16">
        <v>8575</v>
      </c>
      <c r="O174" s="16">
        <v>163739.33545428055</v>
      </c>
      <c r="P174" s="16">
        <v>6033</v>
      </c>
      <c r="Q174" s="16">
        <v>9358</v>
      </c>
      <c r="R174" s="16">
        <v>2223</v>
      </c>
      <c r="S174" s="16">
        <v>1964</v>
      </c>
      <c r="T174" s="16">
        <v>1871</v>
      </c>
      <c r="U174" s="16">
        <v>3210</v>
      </c>
      <c r="V174" s="16">
        <v>3366</v>
      </c>
      <c r="W174" s="16">
        <v>2042</v>
      </c>
      <c r="X174" s="16">
        <v>1717</v>
      </c>
      <c r="Y174" s="16">
        <v>1686</v>
      </c>
      <c r="Z174" s="16">
        <v>10066</v>
      </c>
      <c r="AA174" s="16">
        <v>146240443.06</v>
      </c>
      <c r="AB174" s="16">
        <v>436</v>
      </c>
      <c r="AC174" s="16">
        <v>8669</v>
      </c>
      <c r="AD174" s="16">
        <v>357</v>
      </c>
      <c r="AE174" s="16">
        <v>536</v>
      </c>
      <c r="AF174" s="16">
        <v>1141</v>
      </c>
      <c r="AG174" s="16">
        <v>168</v>
      </c>
      <c r="AH174" s="16">
        <v>234</v>
      </c>
      <c r="AI174" s="16">
        <v>716</v>
      </c>
      <c r="AJ174" s="16">
        <v>92</v>
      </c>
      <c r="AK174" s="16">
        <v>9</v>
      </c>
      <c r="AL174" s="16">
        <v>10066</v>
      </c>
      <c r="AM174" s="16">
        <v>194</v>
      </c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hidden="1" x14ac:dyDescent="0.25">
      <c r="A175" s="49" t="s">
        <v>49</v>
      </c>
      <c r="B175" s="50">
        <v>6</v>
      </c>
      <c r="C175" s="49" t="s">
        <v>61</v>
      </c>
      <c r="D175" s="49" t="s">
        <v>8</v>
      </c>
      <c r="E175" s="49" t="s">
        <v>47</v>
      </c>
      <c r="F175" s="49">
        <v>2017</v>
      </c>
      <c r="G175" s="16">
        <v>1866</v>
      </c>
      <c r="H175" s="16">
        <v>701</v>
      </c>
      <c r="I175" s="16">
        <v>1165</v>
      </c>
      <c r="J175" s="16">
        <v>11068</v>
      </c>
      <c r="K175" s="16">
        <v>48</v>
      </c>
      <c r="L175" s="16">
        <v>5</v>
      </c>
      <c r="M175" s="16">
        <v>11</v>
      </c>
      <c r="N175" s="16">
        <v>1144</v>
      </c>
      <c r="O175" s="16">
        <v>38113.864591336576</v>
      </c>
      <c r="P175" s="16">
        <v>846</v>
      </c>
      <c r="Q175" s="16">
        <v>1986</v>
      </c>
      <c r="R175" s="16">
        <v>379</v>
      </c>
      <c r="S175" s="16">
        <v>947</v>
      </c>
      <c r="T175" s="16">
        <v>365</v>
      </c>
      <c r="U175" s="16">
        <v>837</v>
      </c>
      <c r="V175" s="16">
        <v>823</v>
      </c>
      <c r="W175" s="16">
        <v>305</v>
      </c>
      <c r="X175" s="16">
        <v>288</v>
      </c>
      <c r="Y175" s="16">
        <v>259</v>
      </c>
      <c r="Z175" s="16">
        <v>1866</v>
      </c>
      <c r="AA175" s="16">
        <v>40848159.449999996</v>
      </c>
      <c r="AB175" s="16">
        <v>117</v>
      </c>
      <c r="AC175" s="16">
        <v>1681</v>
      </c>
      <c r="AD175" s="16">
        <v>237</v>
      </c>
      <c r="AE175" s="16">
        <v>204</v>
      </c>
      <c r="AF175" s="16">
        <v>320</v>
      </c>
      <c r="AG175" s="16">
        <v>100</v>
      </c>
      <c r="AH175" s="16">
        <v>81</v>
      </c>
      <c r="AI175" s="16">
        <v>833</v>
      </c>
      <c r="AJ175" s="16">
        <v>0</v>
      </c>
      <c r="AK175" s="16">
        <v>3</v>
      </c>
      <c r="AL175" s="16">
        <v>1866</v>
      </c>
      <c r="AM175" s="16">
        <v>201</v>
      </c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hidden="1" x14ac:dyDescent="0.25">
      <c r="A176" s="49" t="s">
        <v>49</v>
      </c>
      <c r="B176" s="50">
        <v>10</v>
      </c>
      <c r="C176" s="49" t="s">
        <v>62</v>
      </c>
      <c r="D176" s="49" t="s">
        <v>9</v>
      </c>
      <c r="E176" s="49" t="s">
        <v>47</v>
      </c>
      <c r="F176" s="49">
        <v>2017</v>
      </c>
      <c r="G176" s="16">
        <v>2067</v>
      </c>
      <c r="H176" s="16">
        <v>935</v>
      </c>
      <c r="I176" s="16">
        <v>1132</v>
      </c>
      <c r="J176" s="16">
        <v>32676</v>
      </c>
      <c r="K176" s="16">
        <v>52</v>
      </c>
      <c r="L176" s="16">
        <v>17</v>
      </c>
      <c r="M176" s="16">
        <v>8</v>
      </c>
      <c r="N176" s="16">
        <v>1722</v>
      </c>
      <c r="O176" s="16">
        <v>102443.98670163711</v>
      </c>
      <c r="P176" s="16">
        <v>1074</v>
      </c>
      <c r="Q176" s="16">
        <v>2142</v>
      </c>
      <c r="R176" s="16">
        <v>459</v>
      </c>
      <c r="S176" s="16">
        <v>1172</v>
      </c>
      <c r="T176" s="16">
        <v>479</v>
      </c>
      <c r="U176" s="16">
        <v>1103</v>
      </c>
      <c r="V176" s="16">
        <v>1025</v>
      </c>
      <c r="W176" s="16">
        <v>398</v>
      </c>
      <c r="X176" s="16">
        <v>403</v>
      </c>
      <c r="Y176" s="16">
        <v>275</v>
      </c>
      <c r="Z176" s="16">
        <v>2067</v>
      </c>
      <c r="AA176" s="16">
        <v>39988050.210000001</v>
      </c>
      <c r="AB176" s="16">
        <v>151</v>
      </c>
      <c r="AC176" s="16">
        <v>1787</v>
      </c>
      <c r="AD176" s="16">
        <v>164</v>
      </c>
      <c r="AE176" s="16">
        <v>181</v>
      </c>
      <c r="AF176" s="16">
        <v>260</v>
      </c>
      <c r="AG176" s="16">
        <v>76</v>
      </c>
      <c r="AH176" s="16">
        <v>78</v>
      </c>
      <c r="AI176" s="16">
        <v>2362</v>
      </c>
      <c r="AJ176" s="16">
        <v>179</v>
      </c>
      <c r="AK176" s="16">
        <v>2</v>
      </c>
      <c r="AL176" s="16">
        <v>1914.0419999999999</v>
      </c>
      <c r="AM176" s="16">
        <v>37</v>
      </c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hidden="1" x14ac:dyDescent="0.25">
      <c r="A177" s="49" t="s">
        <v>49</v>
      </c>
      <c r="B177" s="50">
        <v>11</v>
      </c>
      <c r="C177" s="49" t="s">
        <v>63</v>
      </c>
      <c r="D177" s="49" t="s">
        <v>10</v>
      </c>
      <c r="E177" s="49" t="s">
        <v>47</v>
      </c>
      <c r="F177" s="49">
        <v>2017</v>
      </c>
      <c r="G177" s="16">
        <v>18067</v>
      </c>
      <c r="H177" s="16">
        <v>7538</v>
      </c>
      <c r="I177" s="16">
        <v>10529</v>
      </c>
      <c r="J177" s="16">
        <v>120616</v>
      </c>
      <c r="K177" s="16">
        <v>288</v>
      </c>
      <c r="L177" s="16">
        <v>71</v>
      </c>
      <c r="M177" s="16">
        <v>65</v>
      </c>
      <c r="N177" s="16">
        <v>15006</v>
      </c>
      <c r="O177" s="16">
        <v>339322.14632718515</v>
      </c>
      <c r="P177" s="16">
        <v>10205</v>
      </c>
      <c r="Q177" s="16">
        <v>17266</v>
      </c>
      <c r="R177" s="16">
        <v>4311</v>
      </c>
      <c r="S177" s="16">
        <v>6262</v>
      </c>
      <c r="T177" s="16">
        <v>4395</v>
      </c>
      <c r="U177" s="16">
        <v>6684</v>
      </c>
      <c r="V177" s="16">
        <v>6355</v>
      </c>
      <c r="W177" s="16">
        <v>4047</v>
      </c>
      <c r="X177" s="16">
        <v>4743</v>
      </c>
      <c r="Y177" s="16">
        <v>4477</v>
      </c>
      <c r="Z177" s="16">
        <v>18067</v>
      </c>
      <c r="AA177" s="16">
        <v>239110062.75999999</v>
      </c>
      <c r="AB177" s="16">
        <v>860</v>
      </c>
      <c r="AC177" s="16">
        <v>16023</v>
      </c>
      <c r="AD177" s="16">
        <v>753</v>
      </c>
      <c r="AE177" s="16">
        <v>1087</v>
      </c>
      <c r="AF177" s="16">
        <v>2187</v>
      </c>
      <c r="AG177" s="16">
        <v>494</v>
      </c>
      <c r="AH177" s="16">
        <v>445</v>
      </c>
      <c r="AI177" s="16">
        <v>8486</v>
      </c>
      <c r="AJ177" s="16">
        <v>674</v>
      </c>
      <c r="AK177" s="16">
        <v>16</v>
      </c>
      <c r="AL177" s="16">
        <v>18067</v>
      </c>
      <c r="AM177" s="16">
        <v>6537</v>
      </c>
      <c r="AN177" s="16">
        <v>12897</v>
      </c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hidden="1" x14ac:dyDescent="0.25">
      <c r="A178" s="49" t="s">
        <v>49</v>
      </c>
      <c r="B178" s="50">
        <v>12</v>
      </c>
      <c r="C178" s="49" t="s">
        <v>64</v>
      </c>
      <c r="D178" s="49" t="s">
        <v>11</v>
      </c>
      <c r="E178" s="49" t="s">
        <v>47</v>
      </c>
      <c r="F178" s="49">
        <v>2017</v>
      </c>
      <c r="G178" s="16">
        <v>6152</v>
      </c>
      <c r="H178" s="16">
        <v>2421</v>
      </c>
      <c r="I178" s="16">
        <v>3731</v>
      </c>
      <c r="J178" s="16">
        <v>67537</v>
      </c>
      <c r="K178" s="16">
        <v>128</v>
      </c>
      <c r="L178" s="16">
        <v>22</v>
      </c>
      <c r="M178" s="16">
        <v>43</v>
      </c>
      <c r="N178" s="16">
        <v>4956</v>
      </c>
      <c r="O178" s="16">
        <v>221402.55210199981</v>
      </c>
      <c r="P178" s="16">
        <v>3288</v>
      </c>
      <c r="Q178" s="16">
        <v>6290</v>
      </c>
      <c r="R178" s="16">
        <v>1515</v>
      </c>
      <c r="S178" s="16">
        <v>3138</v>
      </c>
      <c r="T178" s="16">
        <v>1583</v>
      </c>
      <c r="U178" s="16">
        <v>2844</v>
      </c>
      <c r="V178" s="16">
        <v>2541</v>
      </c>
      <c r="W178" s="16">
        <v>1362</v>
      </c>
      <c r="X178" s="16">
        <v>1363</v>
      </c>
      <c r="Y178" s="16">
        <v>760</v>
      </c>
      <c r="Z178" s="16">
        <v>6152</v>
      </c>
      <c r="AA178" s="16">
        <v>129986523.43000001</v>
      </c>
      <c r="AB178" s="16">
        <v>298</v>
      </c>
      <c r="AC178" s="16">
        <v>5745</v>
      </c>
      <c r="AD178" s="16">
        <v>239</v>
      </c>
      <c r="AE178" s="16">
        <v>327</v>
      </c>
      <c r="AF178" s="16">
        <v>719</v>
      </c>
      <c r="AG178" s="16">
        <v>179</v>
      </c>
      <c r="AH178" s="16">
        <v>232</v>
      </c>
      <c r="AI178" s="16">
        <v>1480</v>
      </c>
      <c r="AJ178" s="16">
        <v>1068</v>
      </c>
      <c r="AK178" s="16">
        <v>4</v>
      </c>
      <c r="AL178" s="16">
        <v>2823.768</v>
      </c>
      <c r="AM178" s="16">
        <v>1175</v>
      </c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hidden="1" x14ac:dyDescent="0.25">
      <c r="A179" s="49" t="s">
        <v>49</v>
      </c>
      <c r="B179" s="50">
        <v>13</v>
      </c>
      <c r="C179" s="49" t="s">
        <v>65</v>
      </c>
      <c r="D179" s="49" t="s">
        <v>12</v>
      </c>
      <c r="E179" s="49" t="s">
        <v>47</v>
      </c>
      <c r="F179" s="49">
        <v>2017</v>
      </c>
      <c r="G179" s="16">
        <v>3648</v>
      </c>
      <c r="H179" s="16">
        <v>1434</v>
      </c>
      <c r="I179" s="16">
        <v>2214</v>
      </c>
      <c r="J179" s="16">
        <v>54631</v>
      </c>
      <c r="K179" s="16">
        <v>71</v>
      </c>
      <c r="L179" s="16">
        <v>34</v>
      </c>
      <c r="M179" s="16">
        <v>19</v>
      </c>
      <c r="N179" s="16">
        <v>3195</v>
      </c>
      <c r="O179" s="16">
        <v>161393.80743884723</v>
      </c>
      <c r="P179" s="16">
        <v>1711</v>
      </c>
      <c r="Q179" s="16">
        <v>3715</v>
      </c>
      <c r="R179" s="16">
        <v>818</v>
      </c>
      <c r="S179" s="16">
        <v>1400</v>
      </c>
      <c r="T179" s="16">
        <v>798</v>
      </c>
      <c r="U179" s="16">
        <v>1523</v>
      </c>
      <c r="V179" s="16">
        <v>1417</v>
      </c>
      <c r="W179" s="16">
        <v>693</v>
      </c>
      <c r="X179" s="16">
        <v>710</v>
      </c>
      <c r="Y179" s="16">
        <v>703</v>
      </c>
      <c r="Z179" s="16">
        <v>3648</v>
      </c>
      <c r="AA179" s="16">
        <v>62427701.560000002</v>
      </c>
      <c r="AB179" s="16">
        <v>203</v>
      </c>
      <c r="AC179" s="16">
        <v>3220</v>
      </c>
      <c r="AD179" s="16">
        <v>251</v>
      </c>
      <c r="AE179" s="16">
        <v>251</v>
      </c>
      <c r="AF179" s="16">
        <v>428</v>
      </c>
      <c r="AG179" s="16">
        <v>112</v>
      </c>
      <c r="AH179" s="16">
        <v>168</v>
      </c>
      <c r="AI179" s="16">
        <v>1175</v>
      </c>
      <c r="AJ179" s="16">
        <v>361</v>
      </c>
      <c r="AK179" s="16">
        <v>6</v>
      </c>
      <c r="AL179" s="16">
        <v>3648</v>
      </c>
      <c r="AM179" s="16">
        <v>408</v>
      </c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hidden="1" x14ac:dyDescent="0.25">
      <c r="A180" s="49" t="s">
        <v>49</v>
      </c>
      <c r="B180" s="50">
        <v>14</v>
      </c>
      <c r="C180" s="49" t="s">
        <v>66</v>
      </c>
      <c r="D180" s="49" t="s">
        <v>13</v>
      </c>
      <c r="E180" s="49" t="s">
        <v>47</v>
      </c>
      <c r="F180" s="49">
        <v>2017</v>
      </c>
      <c r="G180" s="16">
        <v>14856</v>
      </c>
      <c r="H180" s="16">
        <v>5950</v>
      </c>
      <c r="I180" s="16">
        <v>8906</v>
      </c>
      <c r="J180" s="16">
        <v>138980</v>
      </c>
      <c r="K180" s="16">
        <v>276</v>
      </c>
      <c r="L180" s="16">
        <v>36</v>
      </c>
      <c r="M180" s="16">
        <v>68</v>
      </c>
      <c r="N180" s="16">
        <v>11552</v>
      </c>
      <c r="O180" s="16">
        <v>433694.28945317143</v>
      </c>
      <c r="P180" s="16">
        <v>6319</v>
      </c>
      <c r="Q180" s="16">
        <v>14712</v>
      </c>
      <c r="R180" s="16">
        <v>3214</v>
      </c>
      <c r="S180" s="16">
        <v>5352</v>
      </c>
      <c r="T180" s="16">
        <v>3389</v>
      </c>
      <c r="U180" s="16">
        <v>5963</v>
      </c>
      <c r="V180" s="16">
        <v>5847</v>
      </c>
      <c r="W180" s="16">
        <v>2823</v>
      </c>
      <c r="X180" s="16">
        <v>2841</v>
      </c>
      <c r="Y180" s="16">
        <v>2194</v>
      </c>
      <c r="Z180" s="16">
        <v>14856</v>
      </c>
      <c r="AA180" s="16">
        <v>253606710.19</v>
      </c>
      <c r="AB180" s="16">
        <v>877</v>
      </c>
      <c r="AC180" s="16">
        <v>13241</v>
      </c>
      <c r="AD180" s="16">
        <v>705</v>
      </c>
      <c r="AE180" s="16">
        <v>920</v>
      </c>
      <c r="AF180" s="16">
        <v>2084</v>
      </c>
      <c r="AG180" s="16">
        <v>411</v>
      </c>
      <c r="AH180" s="16">
        <v>503</v>
      </c>
      <c r="AI180" s="16">
        <v>8294</v>
      </c>
      <c r="AJ180" s="16">
        <v>907</v>
      </c>
      <c r="AK180" s="16">
        <v>16</v>
      </c>
      <c r="AL180" s="16">
        <v>14232.048000000001</v>
      </c>
      <c r="AM180" s="16">
        <v>228</v>
      </c>
      <c r="AN180" s="16">
        <v>504</v>
      </c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hidden="1" x14ac:dyDescent="0.25">
      <c r="A181" s="49" t="s">
        <v>49</v>
      </c>
      <c r="B181" s="50">
        <v>15</v>
      </c>
      <c r="C181" s="49" t="s">
        <v>67</v>
      </c>
      <c r="D181" s="49" t="s">
        <v>14</v>
      </c>
      <c r="E181" s="49" t="s">
        <v>47</v>
      </c>
      <c r="F181" s="49">
        <v>2017</v>
      </c>
      <c r="G181" s="16">
        <v>48591</v>
      </c>
      <c r="H181" s="16">
        <v>18859</v>
      </c>
      <c r="I181" s="16">
        <v>29732</v>
      </c>
      <c r="J181" s="16">
        <v>291713</v>
      </c>
      <c r="K181" s="16">
        <v>774</v>
      </c>
      <c r="L181" s="16">
        <v>133</v>
      </c>
      <c r="M181" s="16">
        <v>197</v>
      </c>
      <c r="N181" s="16">
        <v>41890</v>
      </c>
      <c r="O181" s="16">
        <v>914058.32544967113</v>
      </c>
      <c r="P181" s="16">
        <v>24437</v>
      </c>
      <c r="Q181" s="16">
        <v>48274</v>
      </c>
      <c r="R181" s="16">
        <v>10103</v>
      </c>
      <c r="S181" s="16">
        <v>17407</v>
      </c>
      <c r="T181" s="16">
        <v>9879</v>
      </c>
      <c r="U181" s="16">
        <v>19660</v>
      </c>
      <c r="V181" s="16">
        <v>19347</v>
      </c>
      <c r="W181" s="16">
        <v>8478</v>
      </c>
      <c r="X181" s="16">
        <v>8197</v>
      </c>
      <c r="Y181" s="16">
        <v>6722</v>
      </c>
      <c r="Z181" s="16">
        <v>48591</v>
      </c>
      <c r="AA181" s="16">
        <v>739896898.45999992</v>
      </c>
      <c r="AB181" s="16">
        <v>2322</v>
      </c>
      <c r="AC181" s="16">
        <v>43524</v>
      </c>
      <c r="AD181" s="16">
        <v>1395</v>
      </c>
      <c r="AE181" s="16">
        <v>2033</v>
      </c>
      <c r="AF181" s="16">
        <v>4445</v>
      </c>
      <c r="AG181" s="16">
        <v>1213</v>
      </c>
      <c r="AH181" s="16">
        <v>1300</v>
      </c>
      <c r="AI181" s="16">
        <v>14747</v>
      </c>
      <c r="AJ181" s="16">
        <v>1031</v>
      </c>
      <c r="AK181" s="16">
        <v>39</v>
      </c>
      <c r="AL181" s="16">
        <v>48591</v>
      </c>
      <c r="AM181" s="16">
        <v>30630</v>
      </c>
      <c r="AN181" s="16">
        <v>429</v>
      </c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hidden="1" x14ac:dyDescent="0.25">
      <c r="A182" s="49" t="s">
        <v>49</v>
      </c>
      <c r="B182" s="50">
        <v>16</v>
      </c>
      <c r="C182" s="49" t="s">
        <v>68</v>
      </c>
      <c r="D182" s="49" t="s">
        <v>30</v>
      </c>
      <c r="E182" s="49" t="s">
        <v>47</v>
      </c>
      <c r="F182" s="49">
        <v>2017</v>
      </c>
      <c r="G182" s="16">
        <v>11181</v>
      </c>
      <c r="H182" s="16">
        <v>4573</v>
      </c>
      <c r="I182" s="16">
        <v>6608</v>
      </c>
      <c r="J182" s="16">
        <v>70513</v>
      </c>
      <c r="K182" s="16">
        <v>220</v>
      </c>
      <c r="L182" s="16">
        <v>28</v>
      </c>
      <c r="M182" s="16">
        <v>52</v>
      </c>
      <c r="N182" s="16">
        <v>9395</v>
      </c>
      <c r="O182" s="16">
        <v>257745.76093572829</v>
      </c>
      <c r="P182" s="16">
        <v>5520</v>
      </c>
      <c r="Q182" s="16">
        <v>11186</v>
      </c>
      <c r="R182" s="16">
        <v>2820</v>
      </c>
      <c r="S182" s="16">
        <v>3671</v>
      </c>
      <c r="T182" s="16">
        <v>2833</v>
      </c>
      <c r="U182" s="16">
        <v>5099</v>
      </c>
      <c r="V182" s="16">
        <v>4533</v>
      </c>
      <c r="W182" s="16">
        <v>2425</v>
      </c>
      <c r="X182" s="16">
        <v>2396</v>
      </c>
      <c r="Y182" s="16">
        <v>2150</v>
      </c>
      <c r="Z182" s="16">
        <v>11181</v>
      </c>
      <c r="AA182" s="16">
        <v>202375074.75999999</v>
      </c>
      <c r="AB182" s="16">
        <v>447</v>
      </c>
      <c r="AC182" s="16">
        <v>10085</v>
      </c>
      <c r="AD182" s="16">
        <v>357</v>
      </c>
      <c r="AE182" s="16">
        <v>481</v>
      </c>
      <c r="AF182" s="16">
        <v>1204</v>
      </c>
      <c r="AG182" s="16">
        <v>270</v>
      </c>
      <c r="AH182" s="16">
        <v>355</v>
      </c>
      <c r="AI182" s="16">
        <v>3982</v>
      </c>
      <c r="AJ182" s="16">
        <v>270</v>
      </c>
      <c r="AK182" s="16">
        <v>4</v>
      </c>
      <c r="AL182" s="16">
        <v>4136.97</v>
      </c>
      <c r="AM182" s="16">
        <v>7715</v>
      </c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hidden="1" x14ac:dyDescent="0.25">
      <c r="A183" s="49" t="s">
        <v>49</v>
      </c>
      <c r="B183" s="50">
        <v>17</v>
      </c>
      <c r="C183" s="49" t="s">
        <v>69</v>
      </c>
      <c r="D183" s="49" t="s">
        <v>15</v>
      </c>
      <c r="E183" s="49" t="s">
        <v>47</v>
      </c>
      <c r="F183" s="49">
        <v>2017</v>
      </c>
      <c r="G183" s="16">
        <v>4697</v>
      </c>
      <c r="H183" s="16">
        <v>1947</v>
      </c>
      <c r="I183" s="16">
        <v>2750</v>
      </c>
      <c r="J183" s="16">
        <v>31772</v>
      </c>
      <c r="K183" s="16">
        <v>72</v>
      </c>
      <c r="L183" s="16">
        <v>15</v>
      </c>
      <c r="M183" s="16">
        <v>16</v>
      </c>
      <c r="N183" s="16">
        <v>3864</v>
      </c>
      <c r="O183" s="16">
        <v>101461.14491197071</v>
      </c>
      <c r="P183" s="16">
        <v>2284</v>
      </c>
      <c r="Q183" s="16">
        <v>4719</v>
      </c>
      <c r="R183" s="16">
        <v>1174</v>
      </c>
      <c r="S183" s="16">
        <v>3436</v>
      </c>
      <c r="T183" s="16">
        <v>1223</v>
      </c>
      <c r="U183" s="16">
        <v>2002</v>
      </c>
      <c r="V183" s="16">
        <v>2047</v>
      </c>
      <c r="W183" s="16">
        <v>1076</v>
      </c>
      <c r="X183" s="16">
        <v>1040</v>
      </c>
      <c r="Y183" s="16">
        <v>957</v>
      </c>
      <c r="Z183" s="16">
        <v>4697</v>
      </c>
      <c r="AA183" s="16">
        <v>68201138.769999996</v>
      </c>
      <c r="AB183" s="16">
        <v>242</v>
      </c>
      <c r="AC183" s="16">
        <v>4169</v>
      </c>
      <c r="AD183" s="16">
        <v>6</v>
      </c>
      <c r="AE183" s="16">
        <v>0</v>
      </c>
      <c r="AF183" s="16">
        <v>532</v>
      </c>
      <c r="AG183" s="16">
        <v>117</v>
      </c>
      <c r="AH183" s="16">
        <v>136</v>
      </c>
      <c r="AI183" s="16">
        <v>4191</v>
      </c>
      <c r="AJ183" s="16">
        <v>373</v>
      </c>
      <c r="AK183" s="16">
        <v>5</v>
      </c>
      <c r="AL183" s="16">
        <v>4697</v>
      </c>
      <c r="AM183" s="16">
        <v>1311</v>
      </c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hidden="1" x14ac:dyDescent="0.25">
      <c r="A184" s="49" t="s">
        <v>49</v>
      </c>
      <c r="B184" s="50">
        <v>18</v>
      </c>
      <c r="C184" s="49" t="s">
        <v>70</v>
      </c>
      <c r="D184" s="49" t="s">
        <v>16</v>
      </c>
      <c r="E184" s="49" t="s">
        <v>47</v>
      </c>
      <c r="F184" s="49">
        <v>2017</v>
      </c>
      <c r="G184" s="16">
        <v>3065</v>
      </c>
      <c r="H184" s="16">
        <v>1127</v>
      </c>
      <c r="I184" s="16">
        <v>1938</v>
      </c>
      <c r="J184" s="16">
        <v>19363</v>
      </c>
      <c r="K184" s="16">
        <v>61</v>
      </c>
      <c r="L184" s="16">
        <v>6</v>
      </c>
      <c r="M184" s="16">
        <v>11</v>
      </c>
      <c r="N184" s="16">
        <v>2634</v>
      </c>
      <c r="O184" s="16">
        <v>67057.060818604514</v>
      </c>
      <c r="P184" s="16">
        <v>1299</v>
      </c>
      <c r="Q184" s="16">
        <v>3195</v>
      </c>
      <c r="R184" s="16">
        <v>643</v>
      </c>
      <c r="S184" s="16">
        <v>1680</v>
      </c>
      <c r="T184" s="16">
        <v>688</v>
      </c>
      <c r="U184" s="16">
        <v>1267</v>
      </c>
      <c r="V184" s="16">
        <v>1099</v>
      </c>
      <c r="W184" s="16">
        <v>588</v>
      </c>
      <c r="X184" s="16">
        <v>639</v>
      </c>
      <c r="Y184" s="16">
        <v>586</v>
      </c>
      <c r="Z184" s="16">
        <v>3065</v>
      </c>
      <c r="AA184" s="16">
        <v>51631392.890000001</v>
      </c>
      <c r="AB184" s="16">
        <v>123</v>
      </c>
      <c r="AC184" s="16">
        <v>2799</v>
      </c>
      <c r="AD184" s="16">
        <v>316</v>
      </c>
      <c r="AE184" s="16">
        <v>360</v>
      </c>
      <c r="AF184" s="16">
        <v>361</v>
      </c>
      <c r="AG184" s="16">
        <v>62</v>
      </c>
      <c r="AH184" s="16">
        <v>131</v>
      </c>
      <c r="AI184" s="16">
        <v>629</v>
      </c>
      <c r="AJ184" s="16">
        <v>82</v>
      </c>
      <c r="AK184" s="16">
        <v>0</v>
      </c>
      <c r="AL184" s="16">
        <v>0</v>
      </c>
      <c r="AM184" s="16">
        <v>0</v>
      </c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5" spans="1:56" hidden="1" x14ac:dyDescent="0.25">
      <c r="A185" s="49" t="s">
        <v>49</v>
      </c>
      <c r="B185" s="50">
        <v>19</v>
      </c>
      <c r="C185" s="49" t="s">
        <v>71</v>
      </c>
      <c r="D185" s="49" t="s">
        <v>17</v>
      </c>
      <c r="E185" s="49" t="s">
        <v>47</v>
      </c>
      <c r="F185" s="49">
        <v>2017</v>
      </c>
      <c r="G185" s="16">
        <v>21351</v>
      </c>
      <c r="H185" s="16">
        <v>8908</v>
      </c>
      <c r="I185" s="16">
        <v>12443</v>
      </c>
      <c r="J185" s="16">
        <v>95814</v>
      </c>
      <c r="K185" s="16">
        <v>274</v>
      </c>
      <c r="L185" s="16">
        <v>72</v>
      </c>
      <c r="M185" s="16">
        <v>71</v>
      </c>
      <c r="N185" s="16">
        <v>17358</v>
      </c>
      <c r="O185" s="16">
        <v>265652.98023607361</v>
      </c>
      <c r="P185" s="16">
        <v>9881</v>
      </c>
      <c r="Q185" s="16">
        <v>20067</v>
      </c>
      <c r="R185" s="16">
        <v>4051</v>
      </c>
      <c r="S185" s="16">
        <v>6909</v>
      </c>
      <c r="T185" s="16">
        <v>4040</v>
      </c>
      <c r="U185" s="16">
        <v>7296</v>
      </c>
      <c r="V185" s="16">
        <v>7442</v>
      </c>
      <c r="W185" s="16">
        <v>3658</v>
      </c>
      <c r="X185" s="16">
        <v>3684</v>
      </c>
      <c r="Y185" s="16">
        <v>3551</v>
      </c>
      <c r="Z185" s="16">
        <v>21351</v>
      </c>
      <c r="AA185" s="16">
        <v>211600752.72999999</v>
      </c>
      <c r="AB185" s="16">
        <v>1046</v>
      </c>
      <c r="AC185" s="16">
        <v>18284</v>
      </c>
      <c r="AD185" s="16">
        <v>660</v>
      </c>
      <c r="AE185" s="16">
        <v>986</v>
      </c>
      <c r="AF185" s="16">
        <v>1549</v>
      </c>
      <c r="AG185" s="16">
        <v>377</v>
      </c>
      <c r="AH185" s="16">
        <v>355</v>
      </c>
      <c r="AI185" s="16">
        <v>38367</v>
      </c>
      <c r="AJ185" s="16">
        <v>1787</v>
      </c>
      <c r="AK185" s="16">
        <v>11</v>
      </c>
      <c r="AL185" s="16">
        <v>14475.978000000001</v>
      </c>
      <c r="AM185" s="16">
        <v>62504</v>
      </c>
      <c r="AN185" s="16">
        <v>511</v>
      </c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</row>
    <row r="186" spans="1:56" hidden="1" x14ac:dyDescent="0.25">
      <c r="A186" s="49" t="s">
        <v>50</v>
      </c>
      <c r="B186" s="50">
        <v>20</v>
      </c>
      <c r="C186" s="49" t="s">
        <v>85</v>
      </c>
      <c r="D186" s="49" t="s">
        <v>28</v>
      </c>
      <c r="E186" s="49" t="s">
        <v>47</v>
      </c>
      <c r="F186" s="49">
        <v>2017</v>
      </c>
      <c r="G186" s="16">
        <v>6380</v>
      </c>
      <c r="H186" s="16">
        <v>2314</v>
      </c>
      <c r="I186" s="16">
        <v>4066</v>
      </c>
      <c r="J186" s="16">
        <v>72598</v>
      </c>
      <c r="K186" s="16">
        <v>127</v>
      </c>
      <c r="L186" s="16">
        <v>14</v>
      </c>
      <c r="M186" s="16">
        <v>16</v>
      </c>
      <c r="N186" s="16">
        <v>5239</v>
      </c>
      <c r="O186" s="16">
        <v>236266.70574677282</v>
      </c>
      <c r="P186" s="16">
        <v>2916</v>
      </c>
      <c r="Q186" s="16">
        <v>6379</v>
      </c>
      <c r="R186" s="16">
        <v>1323</v>
      </c>
      <c r="S186" s="16">
        <v>2412</v>
      </c>
      <c r="T186" s="16">
        <v>1483</v>
      </c>
      <c r="U186" s="16">
        <v>2691</v>
      </c>
      <c r="V186" s="16">
        <v>2259</v>
      </c>
      <c r="W186" s="16">
        <v>1128</v>
      </c>
      <c r="X186" s="16">
        <v>1203</v>
      </c>
      <c r="Y186" s="16">
        <v>888</v>
      </c>
      <c r="Z186" s="16">
        <v>6380</v>
      </c>
      <c r="AA186" s="16">
        <v>173164800.44999999</v>
      </c>
      <c r="AB186" s="16">
        <v>381</v>
      </c>
      <c r="AC186" s="16">
        <v>5850</v>
      </c>
      <c r="AD186" s="16">
        <v>709</v>
      </c>
      <c r="AE186" s="16">
        <v>810</v>
      </c>
      <c r="AF186" s="16">
        <v>637</v>
      </c>
      <c r="AG186" s="16">
        <v>154</v>
      </c>
      <c r="AH186" s="16">
        <v>196</v>
      </c>
      <c r="AI186" s="16">
        <v>2055</v>
      </c>
      <c r="AJ186" s="16">
        <v>36</v>
      </c>
      <c r="AK186" s="16">
        <v>4</v>
      </c>
      <c r="AL186" s="16">
        <v>4095.96</v>
      </c>
      <c r="AM186" s="16">
        <v>372</v>
      </c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hidden="1" x14ac:dyDescent="0.25">
      <c r="A187" s="49" t="s">
        <v>49</v>
      </c>
      <c r="B187" s="50">
        <v>21</v>
      </c>
      <c r="C187" s="49" t="s">
        <v>72</v>
      </c>
      <c r="D187" s="49" t="s">
        <v>18</v>
      </c>
      <c r="E187" s="49" t="s">
        <v>47</v>
      </c>
      <c r="F187" s="49">
        <v>2017</v>
      </c>
      <c r="G187" s="16">
        <v>7439</v>
      </c>
      <c r="H187" s="16">
        <v>2917</v>
      </c>
      <c r="I187" s="16">
        <v>4522</v>
      </c>
      <c r="J187" s="16">
        <v>125596</v>
      </c>
      <c r="K187" s="16">
        <v>161</v>
      </c>
      <c r="L187" s="16">
        <v>37</v>
      </c>
      <c r="M187" s="16">
        <v>42</v>
      </c>
      <c r="N187" s="16">
        <v>6223</v>
      </c>
      <c r="O187" s="16">
        <v>364173.02984084236</v>
      </c>
      <c r="P187" s="16">
        <v>4223</v>
      </c>
      <c r="Q187" s="16">
        <v>7260</v>
      </c>
      <c r="R187" s="16">
        <v>1855</v>
      </c>
      <c r="S187" s="16">
        <v>2157</v>
      </c>
      <c r="T187" s="16">
        <v>1783</v>
      </c>
      <c r="U187" s="16">
        <v>2816</v>
      </c>
      <c r="V187" s="16">
        <v>2818</v>
      </c>
      <c r="W187" s="16">
        <v>1669</v>
      </c>
      <c r="X187" s="16">
        <v>1681</v>
      </c>
      <c r="Y187" s="16">
        <v>1562</v>
      </c>
      <c r="Z187" s="16">
        <v>7439</v>
      </c>
      <c r="AA187" s="16">
        <v>146685714.02000001</v>
      </c>
      <c r="AB187" s="16">
        <v>393</v>
      </c>
      <c r="AC187" s="16">
        <v>6881</v>
      </c>
      <c r="AD187" s="16">
        <v>404</v>
      </c>
      <c r="AE187" s="16">
        <v>535</v>
      </c>
      <c r="AF187" s="16">
        <v>1005</v>
      </c>
      <c r="AG187" s="16">
        <v>230</v>
      </c>
      <c r="AH187" s="16">
        <v>262</v>
      </c>
      <c r="AI187" s="16">
        <v>4484</v>
      </c>
      <c r="AJ187" s="16">
        <v>168</v>
      </c>
      <c r="AK187" s="16">
        <v>10</v>
      </c>
      <c r="AL187" s="16">
        <v>7439</v>
      </c>
      <c r="AM187" s="16">
        <v>4232</v>
      </c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hidden="1" x14ac:dyDescent="0.25">
      <c r="A188" s="49" t="s">
        <v>49</v>
      </c>
      <c r="B188" s="50">
        <v>22</v>
      </c>
      <c r="C188" s="49" t="s">
        <v>73</v>
      </c>
      <c r="D188" s="49" t="s">
        <v>29</v>
      </c>
      <c r="E188" s="49" t="s">
        <v>47</v>
      </c>
      <c r="F188" s="49">
        <v>2017</v>
      </c>
      <c r="G188" s="16">
        <v>3418</v>
      </c>
      <c r="H188" s="16">
        <v>1463</v>
      </c>
      <c r="I188" s="16">
        <v>1955</v>
      </c>
      <c r="J188" s="16">
        <v>34515</v>
      </c>
      <c r="K188" s="16">
        <v>66</v>
      </c>
      <c r="L188" s="16">
        <v>16</v>
      </c>
      <c r="M188" s="16">
        <v>25</v>
      </c>
      <c r="N188" s="16">
        <v>2873</v>
      </c>
      <c r="O188" s="16">
        <v>113026.69883774169</v>
      </c>
      <c r="P188" s="16">
        <v>2071</v>
      </c>
      <c r="Q188" s="16">
        <v>3418</v>
      </c>
      <c r="R188" s="16">
        <v>884</v>
      </c>
      <c r="S188" s="16">
        <v>1984</v>
      </c>
      <c r="T188" s="16">
        <v>767</v>
      </c>
      <c r="U188" s="16">
        <v>1219</v>
      </c>
      <c r="V188" s="16">
        <v>1476</v>
      </c>
      <c r="W188" s="16">
        <v>811</v>
      </c>
      <c r="X188" s="16">
        <v>754</v>
      </c>
      <c r="Y188" s="16">
        <v>723</v>
      </c>
      <c r="Z188" s="16">
        <v>3418</v>
      </c>
      <c r="AA188" s="16">
        <v>45334871.540000007</v>
      </c>
      <c r="AB188" s="16">
        <v>246</v>
      </c>
      <c r="AC188" s="16">
        <v>3142</v>
      </c>
      <c r="AD188" s="16">
        <v>254</v>
      </c>
      <c r="AE188" s="16">
        <v>279</v>
      </c>
      <c r="AF188" s="16">
        <v>449</v>
      </c>
      <c r="AG188" s="16">
        <v>82</v>
      </c>
      <c r="AH188" s="16">
        <v>107</v>
      </c>
      <c r="AI188" s="16">
        <v>1617</v>
      </c>
      <c r="AJ188" s="16">
        <v>71</v>
      </c>
      <c r="AK188" s="16">
        <v>2</v>
      </c>
      <c r="AL188" s="16">
        <v>1394.5439999999999</v>
      </c>
      <c r="AM188" s="16">
        <v>0</v>
      </c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hidden="1" x14ac:dyDescent="0.25">
      <c r="A189" s="49" t="s">
        <v>49</v>
      </c>
      <c r="B189" s="50">
        <v>23</v>
      </c>
      <c r="C189" s="49" t="s">
        <v>74</v>
      </c>
      <c r="D189" s="49" t="s">
        <v>19</v>
      </c>
      <c r="E189" s="49" t="s">
        <v>47</v>
      </c>
      <c r="F189" s="49">
        <v>2017</v>
      </c>
      <c r="G189" s="16">
        <v>8622</v>
      </c>
      <c r="H189" s="16">
        <v>3406</v>
      </c>
      <c r="I189" s="16">
        <v>5216</v>
      </c>
      <c r="J189" s="16">
        <v>26440</v>
      </c>
      <c r="K189" s="16">
        <v>109</v>
      </c>
      <c r="L189" s="16">
        <v>15</v>
      </c>
      <c r="M189" s="16">
        <v>29</v>
      </c>
      <c r="N189" s="16">
        <v>7095</v>
      </c>
      <c r="O189" s="16">
        <v>83978.873874572979</v>
      </c>
      <c r="P189" s="16">
        <v>3817</v>
      </c>
      <c r="Q189" s="16">
        <v>8129</v>
      </c>
      <c r="R189" s="16">
        <v>1739</v>
      </c>
      <c r="S189" s="16">
        <v>3071</v>
      </c>
      <c r="T189" s="16">
        <v>2323</v>
      </c>
      <c r="U189" s="16">
        <v>3687</v>
      </c>
      <c r="V189" s="16">
        <v>2777</v>
      </c>
      <c r="W189" s="16">
        <v>1512</v>
      </c>
      <c r="X189" s="16">
        <v>1830</v>
      </c>
      <c r="Y189" s="16">
        <v>1697</v>
      </c>
      <c r="Z189" s="16">
        <v>8622</v>
      </c>
      <c r="AA189" s="16">
        <v>97942159.229999989</v>
      </c>
      <c r="AB189" s="16">
        <v>432</v>
      </c>
      <c r="AC189" s="16">
        <v>7546</v>
      </c>
      <c r="AD189" s="16">
        <v>277</v>
      </c>
      <c r="AE189" s="16">
        <v>403</v>
      </c>
      <c r="AF189" s="16">
        <v>771</v>
      </c>
      <c r="AG189" s="16">
        <v>209</v>
      </c>
      <c r="AH189" s="16">
        <v>259</v>
      </c>
      <c r="AI189" s="16">
        <v>210</v>
      </c>
      <c r="AJ189" s="16">
        <v>0</v>
      </c>
      <c r="AK189" s="16">
        <v>7</v>
      </c>
      <c r="AL189" s="16">
        <v>8622</v>
      </c>
      <c r="AM189" s="16">
        <v>32</v>
      </c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hidden="1" x14ac:dyDescent="0.25">
      <c r="A190" s="49" t="s">
        <v>49</v>
      </c>
      <c r="B190" s="50">
        <v>24</v>
      </c>
      <c r="C190" s="49" t="s">
        <v>75</v>
      </c>
      <c r="D190" s="49" t="s">
        <v>20</v>
      </c>
      <c r="E190" s="49" t="s">
        <v>47</v>
      </c>
      <c r="F190" s="49">
        <v>2017</v>
      </c>
      <c r="G190" s="16">
        <v>5729</v>
      </c>
      <c r="H190" s="16">
        <v>2322</v>
      </c>
      <c r="I190" s="16">
        <v>3407</v>
      </c>
      <c r="J190" s="16">
        <v>58469</v>
      </c>
      <c r="K190" s="16">
        <v>90</v>
      </c>
      <c r="L190" s="16">
        <v>19</v>
      </c>
      <c r="M190" s="16">
        <v>25</v>
      </c>
      <c r="N190" s="16">
        <v>4445</v>
      </c>
      <c r="O190" s="16">
        <v>159670.65915548397</v>
      </c>
      <c r="P190" s="16">
        <v>3026</v>
      </c>
      <c r="Q190" s="16">
        <v>5400</v>
      </c>
      <c r="R190" s="16">
        <v>1125</v>
      </c>
      <c r="S190" s="16">
        <v>2677</v>
      </c>
      <c r="T190" s="16">
        <v>1197</v>
      </c>
      <c r="U190" s="16">
        <v>2196</v>
      </c>
      <c r="V190" s="16">
        <v>2096</v>
      </c>
      <c r="W190" s="16">
        <v>989</v>
      </c>
      <c r="X190" s="16">
        <v>980</v>
      </c>
      <c r="Y190" s="16">
        <v>921</v>
      </c>
      <c r="Z190" s="16">
        <v>5729</v>
      </c>
      <c r="AA190" s="16">
        <v>85770398.209999993</v>
      </c>
      <c r="AB190" s="16">
        <v>249</v>
      </c>
      <c r="AC190" s="16">
        <v>4835</v>
      </c>
      <c r="AD190" s="16">
        <v>323</v>
      </c>
      <c r="AE190" s="16">
        <v>428</v>
      </c>
      <c r="AF190" s="16">
        <v>427</v>
      </c>
      <c r="AG190" s="16">
        <v>150</v>
      </c>
      <c r="AH190" s="16">
        <v>145</v>
      </c>
      <c r="AI190" s="16">
        <v>4791</v>
      </c>
      <c r="AJ190" s="16">
        <v>190</v>
      </c>
      <c r="AK190" s="16">
        <v>5</v>
      </c>
      <c r="AL190" s="16">
        <v>5729</v>
      </c>
      <c r="AM190" s="16">
        <v>851</v>
      </c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hidden="1" x14ac:dyDescent="0.25">
      <c r="A191" s="49" t="s">
        <v>49</v>
      </c>
      <c r="B191" s="50">
        <v>25</v>
      </c>
      <c r="C191" s="49" t="s">
        <v>76</v>
      </c>
      <c r="D191" s="49" t="s">
        <v>21</v>
      </c>
      <c r="E191" s="49" t="s">
        <v>47</v>
      </c>
      <c r="F191" s="49">
        <v>2017</v>
      </c>
      <c r="G191" s="16">
        <v>8577</v>
      </c>
      <c r="H191" s="16">
        <v>3909</v>
      </c>
      <c r="I191" s="16">
        <v>4668</v>
      </c>
      <c r="J191" s="16">
        <v>54201</v>
      </c>
      <c r="K191" s="16">
        <v>216</v>
      </c>
      <c r="L191" s="16">
        <v>67</v>
      </c>
      <c r="M191" s="16">
        <v>42</v>
      </c>
      <c r="N191" s="16">
        <v>7468</v>
      </c>
      <c r="O191" s="16">
        <v>163676.19828688691</v>
      </c>
      <c r="P191" s="16">
        <v>4442</v>
      </c>
      <c r="Q191" s="16">
        <v>7854</v>
      </c>
      <c r="R191" s="16">
        <v>1915</v>
      </c>
      <c r="S191" s="16">
        <v>3351</v>
      </c>
      <c r="T191" s="16">
        <v>2450</v>
      </c>
      <c r="U191" s="16">
        <v>3935</v>
      </c>
      <c r="V191" s="16">
        <v>3009</v>
      </c>
      <c r="W191" s="16">
        <v>1739</v>
      </c>
      <c r="X191" s="16">
        <v>2335</v>
      </c>
      <c r="Y191" s="16">
        <v>2244</v>
      </c>
      <c r="Z191" s="16">
        <v>8577</v>
      </c>
      <c r="AA191" s="16">
        <v>217435835.59</v>
      </c>
      <c r="AB191" s="16">
        <v>535</v>
      </c>
      <c r="AC191" s="16">
        <v>7204</v>
      </c>
      <c r="AD191" s="16">
        <v>367</v>
      </c>
      <c r="AE191" s="16">
        <v>382</v>
      </c>
      <c r="AF191" s="16">
        <v>1117</v>
      </c>
      <c r="AG191" s="16">
        <v>310</v>
      </c>
      <c r="AH191" s="16">
        <v>470</v>
      </c>
      <c r="AI191" s="16">
        <v>410</v>
      </c>
      <c r="AJ191" s="16">
        <v>241</v>
      </c>
      <c r="AK191" s="16">
        <v>15</v>
      </c>
      <c r="AL191" s="16">
        <v>8448.3449999999993</v>
      </c>
      <c r="AM191" s="16">
        <v>28</v>
      </c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</row>
    <row r="192" spans="1:56" hidden="1" x14ac:dyDescent="0.25">
      <c r="A192" s="49" t="s">
        <v>49</v>
      </c>
      <c r="B192" s="50">
        <v>26</v>
      </c>
      <c r="C192" s="49" t="s">
        <v>77</v>
      </c>
      <c r="D192" s="49" t="s">
        <v>22</v>
      </c>
      <c r="E192" s="49" t="s">
        <v>47</v>
      </c>
      <c r="F192" s="49">
        <v>2017</v>
      </c>
      <c r="G192" s="16">
        <v>15277</v>
      </c>
      <c r="H192" s="16">
        <v>6180</v>
      </c>
      <c r="I192" s="16">
        <v>9097</v>
      </c>
      <c r="J192" s="16">
        <v>48293</v>
      </c>
      <c r="K192" s="16">
        <v>260</v>
      </c>
      <c r="L192" s="16">
        <v>35</v>
      </c>
      <c r="M192" s="16">
        <v>49</v>
      </c>
      <c r="N192" s="16">
        <v>12888</v>
      </c>
      <c r="O192" s="16">
        <v>159910.74779471883</v>
      </c>
      <c r="P192" s="16">
        <v>6335</v>
      </c>
      <c r="Q192" s="16">
        <v>15385</v>
      </c>
      <c r="R192" s="16">
        <v>2886</v>
      </c>
      <c r="S192" s="16">
        <v>7063</v>
      </c>
      <c r="T192" s="16">
        <v>2384</v>
      </c>
      <c r="U192" s="16">
        <v>5124</v>
      </c>
      <c r="V192" s="16">
        <v>5686</v>
      </c>
      <c r="W192" s="16">
        <v>2463</v>
      </c>
      <c r="X192" s="16">
        <v>2385</v>
      </c>
      <c r="Y192" s="16">
        <v>1963</v>
      </c>
      <c r="Z192" s="16">
        <v>15277</v>
      </c>
      <c r="AA192" s="16">
        <v>220480112.47</v>
      </c>
      <c r="AB192" s="16">
        <v>605</v>
      </c>
      <c r="AC192" s="16">
        <v>14152</v>
      </c>
      <c r="AD192" s="16">
        <v>487</v>
      </c>
      <c r="AE192" s="16">
        <v>477</v>
      </c>
      <c r="AF192" s="16">
        <v>857</v>
      </c>
      <c r="AG192" s="16">
        <v>277</v>
      </c>
      <c r="AH192" s="16">
        <v>405</v>
      </c>
      <c r="AI192" s="16">
        <v>7657</v>
      </c>
      <c r="AJ192" s="16">
        <v>579</v>
      </c>
      <c r="AK192" s="16">
        <v>11</v>
      </c>
      <c r="AL192" s="16">
        <v>10984.163</v>
      </c>
      <c r="AM192" s="16">
        <v>0</v>
      </c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hidden="1" x14ac:dyDescent="0.25">
      <c r="A193" s="49" t="s">
        <v>49</v>
      </c>
      <c r="B193" s="50">
        <v>27</v>
      </c>
      <c r="C193" s="49" t="s">
        <v>78</v>
      </c>
      <c r="D193" s="49" t="s">
        <v>23</v>
      </c>
      <c r="E193" s="49" t="s">
        <v>47</v>
      </c>
      <c r="F193" s="49">
        <v>2017</v>
      </c>
      <c r="G193" s="16">
        <v>5685</v>
      </c>
      <c r="H193" s="16">
        <v>2206</v>
      </c>
      <c r="I193" s="16">
        <v>3479</v>
      </c>
      <c r="J193" s="16">
        <v>40315</v>
      </c>
      <c r="K193" s="16">
        <v>89</v>
      </c>
      <c r="L193" s="16">
        <v>20</v>
      </c>
      <c r="M193" s="16">
        <v>22</v>
      </c>
      <c r="N193" s="16">
        <v>4884</v>
      </c>
      <c r="O193" s="16">
        <v>133447.88163723628</v>
      </c>
      <c r="P193" s="16">
        <v>2207</v>
      </c>
      <c r="Q193" s="16">
        <v>5584</v>
      </c>
      <c r="R193" s="16">
        <v>1400</v>
      </c>
      <c r="S193" s="16">
        <v>1897</v>
      </c>
      <c r="T193" s="16">
        <v>1456</v>
      </c>
      <c r="U193" s="16">
        <v>2213</v>
      </c>
      <c r="V193" s="16">
        <v>2162</v>
      </c>
      <c r="W193" s="16">
        <v>1303</v>
      </c>
      <c r="X193" s="16">
        <v>1341</v>
      </c>
      <c r="Y193" s="16">
        <v>1270</v>
      </c>
      <c r="Z193" s="16">
        <v>5685</v>
      </c>
      <c r="AA193" s="16">
        <v>109629582.92000002</v>
      </c>
      <c r="AB193" s="16">
        <v>294</v>
      </c>
      <c r="AC193" s="16">
        <v>5174</v>
      </c>
      <c r="AD193" s="16">
        <v>264</v>
      </c>
      <c r="AE193" s="16">
        <v>355</v>
      </c>
      <c r="AF193" s="16">
        <v>484</v>
      </c>
      <c r="AG193" s="16">
        <v>103</v>
      </c>
      <c r="AH193" s="16">
        <v>187</v>
      </c>
      <c r="AI193" s="16">
        <v>1011</v>
      </c>
      <c r="AJ193" s="16">
        <v>4</v>
      </c>
      <c r="AK193" s="16">
        <v>5</v>
      </c>
      <c r="AL193" s="16">
        <v>3735.0450000000001</v>
      </c>
      <c r="AM193" s="16">
        <v>8</v>
      </c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hidden="1" x14ac:dyDescent="0.25">
      <c r="A194" s="49" t="s">
        <v>49</v>
      </c>
      <c r="B194" s="50">
        <v>28</v>
      </c>
      <c r="C194" s="49" t="s">
        <v>79</v>
      </c>
      <c r="D194" s="49" t="s">
        <v>24</v>
      </c>
      <c r="E194" s="49" t="s">
        <v>47</v>
      </c>
      <c r="F194" s="49">
        <v>2017</v>
      </c>
      <c r="G194" s="16">
        <v>8707</v>
      </c>
      <c r="H194" s="16">
        <v>3276</v>
      </c>
      <c r="I194" s="16">
        <v>5431</v>
      </c>
      <c r="J194" s="16">
        <v>53952</v>
      </c>
      <c r="K194" s="16">
        <v>157</v>
      </c>
      <c r="L194" s="16">
        <v>30</v>
      </c>
      <c r="M194" s="16">
        <v>37</v>
      </c>
      <c r="N194" s="16">
        <v>7558</v>
      </c>
      <c r="O194" s="16">
        <v>187602.00965312397</v>
      </c>
      <c r="P194" s="16">
        <v>3644</v>
      </c>
      <c r="Q194" s="16">
        <v>8929</v>
      </c>
      <c r="R194" s="16">
        <v>2127</v>
      </c>
      <c r="S194" s="16">
        <v>3395</v>
      </c>
      <c r="T194" s="16">
        <v>2250</v>
      </c>
      <c r="U194" s="16">
        <v>4147</v>
      </c>
      <c r="V194" s="16">
        <v>3511</v>
      </c>
      <c r="W194" s="16">
        <v>1898</v>
      </c>
      <c r="X194" s="16">
        <v>1856</v>
      </c>
      <c r="Y194" s="16">
        <v>1721</v>
      </c>
      <c r="Z194" s="16">
        <v>8707</v>
      </c>
      <c r="AA194" s="16">
        <v>170226883.19999999</v>
      </c>
      <c r="AB194" s="16">
        <v>392</v>
      </c>
      <c r="AC194" s="16">
        <v>8312</v>
      </c>
      <c r="AD194" s="16">
        <v>314</v>
      </c>
      <c r="AE194" s="16">
        <v>418</v>
      </c>
      <c r="AF194" s="16">
        <v>1077</v>
      </c>
      <c r="AG194" s="16">
        <v>189</v>
      </c>
      <c r="AH194" s="16">
        <v>291</v>
      </c>
      <c r="AI194" s="16">
        <v>10735</v>
      </c>
      <c r="AJ194" s="16">
        <v>177</v>
      </c>
      <c r="AK194" s="16">
        <v>8</v>
      </c>
      <c r="AL194" s="16">
        <v>8707</v>
      </c>
      <c r="AM194" s="16">
        <v>95</v>
      </c>
      <c r="AN194" s="16">
        <v>711</v>
      </c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hidden="1" x14ac:dyDescent="0.25">
      <c r="A195" s="49" t="s">
        <v>49</v>
      </c>
      <c r="B195" s="50">
        <v>29</v>
      </c>
      <c r="C195" s="49" t="s">
        <v>80</v>
      </c>
      <c r="D195" s="49" t="s">
        <v>25</v>
      </c>
      <c r="E195" s="49" t="s">
        <v>47</v>
      </c>
      <c r="F195" s="49">
        <v>2017</v>
      </c>
      <c r="G195" s="16">
        <v>3243</v>
      </c>
      <c r="H195" s="16">
        <v>1320</v>
      </c>
      <c r="I195" s="16">
        <v>1923</v>
      </c>
      <c r="J195" s="16">
        <v>23702</v>
      </c>
      <c r="K195" s="16">
        <v>48</v>
      </c>
      <c r="L195" s="16">
        <v>21</v>
      </c>
      <c r="M195" s="16">
        <v>13</v>
      </c>
      <c r="N195" s="16">
        <v>2929</v>
      </c>
      <c r="O195" s="16">
        <v>74174.189282836684</v>
      </c>
      <c r="P195" s="16">
        <v>1484</v>
      </c>
      <c r="Q195" s="16">
        <v>3036</v>
      </c>
      <c r="R195" s="16">
        <v>688</v>
      </c>
      <c r="S195" s="16">
        <v>1245</v>
      </c>
      <c r="T195" s="16">
        <v>770</v>
      </c>
      <c r="U195" s="16">
        <v>1332</v>
      </c>
      <c r="V195" s="16">
        <v>1224</v>
      </c>
      <c r="W195" s="16">
        <v>562</v>
      </c>
      <c r="X195" s="16">
        <v>604</v>
      </c>
      <c r="Y195" s="16">
        <v>596</v>
      </c>
      <c r="Z195" s="16">
        <v>3243</v>
      </c>
      <c r="AA195" s="16">
        <v>41570346.460000008</v>
      </c>
      <c r="AB195" s="16">
        <v>176</v>
      </c>
      <c r="AC195" s="16">
        <v>2763</v>
      </c>
      <c r="AD195" s="16">
        <v>398</v>
      </c>
      <c r="AE195" s="16">
        <v>403</v>
      </c>
      <c r="AF195" s="16">
        <v>455</v>
      </c>
      <c r="AG195" s="16">
        <v>75</v>
      </c>
      <c r="AH195" s="16">
        <v>73</v>
      </c>
      <c r="AI195" s="16">
        <v>1455</v>
      </c>
      <c r="AJ195" s="16">
        <v>43</v>
      </c>
      <c r="AK195" s="16">
        <v>3</v>
      </c>
      <c r="AL195" s="16">
        <v>3243</v>
      </c>
      <c r="AM195" s="16">
        <v>66</v>
      </c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hidden="1" x14ac:dyDescent="0.25">
      <c r="A196" s="49" t="s">
        <v>49</v>
      </c>
      <c r="B196" s="50">
        <v>30</v>
      </c>
      <c r="C196" s="49" t="s">
        <v>81</v>
      </c>
      <c r="D196" s="49" t="s">
        <v>53</v>
      </c>
      <c r="E196" s="49" t="s">
        <v>47</v>
      </c>
      <c r="F196" s="49">
        <v>2017</v>
      </c>
      <c r="G196" s="16">
        <v>9115</v>
      </c>
      <c r="H196" s="16">
        <v>3208</v>
      </c>
      <c r="I196" s="16">
        <v>5907</v>
      </c>
      <c r="J196" s="16">
        <v>135695</v>
      </c>
      <c r="K196" s="16">
        <v>176</v>
      </c>
      <c r="L196" s="16">
        <v>40</v>
      </c>
      <c r="M196" s="16">
        <v>78</v>
      </c>
      <c r="N196" s="16">
        <v>7767</v>
      </c>
      <c r="O196" s="16">
        <v>437150.9048392534</v>
      </c>
      <c r="P196" s="16">
        <v>4837</v>
      </c>
      <c r="Q196" s="16">
        <v>9302</v>
      </c>
      <c r="R196" s="16">
        <v>2432</v>
      </c>
      <c r="S196" s="16">
        <v>3113</v>
      </c>
      <c r="T196" s="16">
        <v>2469</v>
      </c>
      <c r="U196" s="16">
        <v>3711</v>
      </c>
      <c r="V196" s="16">
        <v>3471</v>
      </c>
      <c r="W196" s="16">
        <v>2218</v>
      </c>
      <c r="X196" s="16">
        <v>2121</v>
      </c>
      <c r="Y196" s="16">
        <v>1869</v>
      </c>
      <c r="Z196" s="16">
        <v>9115</v>
      </c>
      <c r="AA196" s="16">
        <v>223349061.37000003</v>
      </c>
      <c r="AB196" s="16">
        <v>549</v>
      </c>
      <c r="AC196" s="16">
        <v>8940</v>
      </c>
      <c r="AD196" s="16">
        <v>419</v>
      </c>
      <c r="AE196" s="16">
        <v>583</v>
      </c>
      <c r="AF196" s="16">
        <v>1543</v>
      </c>
      <c r="AG196" s="16">
        <v>318</v>
      </c>
      <c r="AH196" s="16">
        <v>397</v>
      </c>
      <c r="AI196" s="16">
        <v>5496</v>
      </c>
      <c r="AJ196" s="16">
        <v>115</v>
      </c>
      <c r="AK196" s="16">
        <v>12</v>
      </c>
      <c r="AL196" s="16">
        <v>9042.08</v>
      </c>
      <c r="AM196" s="16">
        <v>580</v>
      </c>
      <c r="AN196" s="16">
        <v>631</v>
      </c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hidden="1" x14ac:dyDescent="0.25">
      <c r="A197" s="49" t="s">
        <v>49</v>
      </c>
      <c r="B197" s="50">
        <v>31</v>
      </c>
      <c r="C197" s="49" t="s">
        <v>82</v>
      </c>
      <c r="D197" s="49" t="s">
        <v>26</v>
      </c>
      <c r="E197" s="49" t="s">
        <v>47</v>
      </c>
      <c r="F197" s="49">
        <v>2017</v>
      </c>
      <c r="G197" s="16">
        <v>5258</v>
      </c>
      <c r="H197" s="16">
        <v>2052</v>
      </c>
      <c r="I197" s="16">
        <v>3206</v>
      </c>
      <c r="J197" s="16">
        <v>36412</v>
      </c>
      <c r="K197" s="16">
        <v>69</v>
      </c>
      <c r="L197" s="16">
        <v>10</v>
      </c>
      <c r="M197" s="16">
        <v>17</v>
      </c>
      <c r="N197" s="16">
        <v>3892</v>
      </c>
      <c r="O197" s="16">
        <v>110577.73312521525</v>
      </c>
      <c r="P197" s="16">
        <v>2516</v>
      </c>
      <c r="Q197" s="16">
        <v>5114</v>
      </c>
      <c r="R197" s="16">
        <v>1149</v>
      </c>
      <c r="S197" s="16">
        <v>2490</v>
      </c>
      <c r="T197" s="16">
        <v>986</v>
      </c>
      <c r="U197" s="16">
        <v>1708</v>
      </c>
      <c r="V197" s="16">
        <v>1794</v>
      </c>
      <c r="W197" s="16">
        <v>1031</v>
      </c>
      <c r="X197" s="16">
        <v>982</v>
      </c>
      <c r="Y197" s="16">
        <v>792</v>
      </c>
      <c r="Z197" s="16">
        <v>5258</v>
      </c>
      <c r="AA197" s="16">
        <v>98997778.909999996</v>
      </c>
      <c r="AB197" s="16">
        <v>272</v>
      </c>
      <c r="AC197" s="16">
        <v>4750</v>
      </c>
      <c r="AD197" s="16">
        <v>262</v>
      </c>
      <c r="AE197" s="16">
        <v>116</v>
      </c>
      <c r="AF197" s="16">
        <v>484</v>
      </c>
      <c r="AG197" s="16">
        <v>158</v>
      </c>
      <c r="AH197" s="16">
        <v>154</v>
      </c>
      <c r="AI197" s="16">
        <v>4545</v>
      </c>
      <c r="AJ197" s="16">
        <v>421</v>
      </c>
      <c r="AK197" s="16">
        <v>5</v>
      </c>
      <c r="AL197" s="16">
        <v>5258</v>
      </c>
      <c r="AM197" s="16">
        <v>429</v>
      </c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hidden="1" x14ac:dyDescent="0.25">
      <c r="A198" s="49" t="s">
        <v>49</v>
      </c>
      <c r="B198" s="50">
        <v>32</v>
      </c>
      <c r="C198" s="49" t="s">
        <v>83</v>
      </c>
      <c r="D198" s="49" t="s">
        <v>27</v>
      </c>
      <c r="E198" s="49" t="s">
        <v>47</v>
      </c>
      <c r="F198" s="49">
        <v>2017</v>
      </c>
      <c r="G198" s="16">
        <v>1552</v>
      </c>
      <c r="H198" s="16">
        <v>675</v>
      </c>
      <c r="I198" s="16">
        <v>877</v>
      </c>
      <c r="J198" s="16">
        <v>28539</v>
      </c>
      <c r="K198" s="16">
        <v>51</v>
      </c>
      <c r="L198" s="16">
        <v>12</v>
      </c>
      <c r="M198" s="16">
        <v>9</v>
      </c>
      <c r="N198" s="16">
        <v>1230</v>
      </c>
      <c r="O198" s="16">
        <v>89510.408551906468</v>
      </c>
      <c r="P198" s="16">
        <v>746</v>
      </c>
      <c r="Q198" s="16">
        <v>1610</v>
      </c>
      <c r="R198" s="16">
        <v>305</v>
      </c>
      <c r="S198" s="16">
        <v>853</v>
      </c>
      <c r="T198" s="16">
        <v>320</v>
      </c>
      <c r="U198" s="16">
        <v>767</v>
      </c>
      <c r="V198" s="16">
        <v>695</v>
      </c>
      <c r="W198" s="16">
        <v>260</v>
      </c>
      <c r="X198" s="16">
        <v>292</v>
      </c>
      <c r="Y198" s="16">
        <v>288</v>
      </c>
      <c r="Z198" s="16">
        <v>1552</v>
      </c>
      <c r="AA198" s="16">
        <v>36192694.990000002</v>
      </c>
      <c r="AB198" s="16">
        <v>74</v>
      </c>
      <c r="AC198" s="16">
        <v>1344</v>
      </c>
      <c r="AD198" s="16">
        <v>169</v>
      </c>
      <c r="AE198" s="16">
        <v>148</v>
      </c>
      <c r="AF198" s="16">
        <v>197</v>
      </c>
      <c r="AG198" s="16">
        <v>62</v>
      </c>
      <c r="AH198" s="16">
        <v>76</v>
      </c>
      <c r="AI198" s="16">
        <v>2319</v>
      </c>
      <c r="AJ198" s="16">
        <v>84</v>
      </c>
      <c r="AK198" s="16">
        <v>2</v>
      </c>
      <c r="AL198" s="16">
        <v>1306.7840000000001</v>
      </c>
      <c r="AM198" s="16">
        <v>0</v>
      </c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hidden="1" x14ac:dyDescent="0.25">
      <c r="A199" s="49" t="s">
        <v>134</v>
      </c>
      <c r="B199" s="50">
        <v>33</v>
      </c>
      <c r="C199" s="49" t="s">
        <v>135</v>
      </c>
      <c r="D199" s="49" t="s">
        <v>40</v>
      </c>
      <c r="E199" s="49" t="s">
        <v>47</v>
      </c>
      <c r="F199" s="49">
        <v>2017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>
        <v>0</v>
      </c>
      <c r="AM199" s="16">
        <v>187</v>
      </c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hidden="1" x14ac:dyDescent="0.25">
      <c r="A200" s="51" t="s">
        <v>49</v>
      </c>
      <c r="B200" s="52">
        <v>1</v>
      </c>
      <c r="C200" s="51" t="s">
        <v>54</v>
      </c>
      <c r="D200" s="51" t="s">
        <v>1</v>
      </c>
      <c r="E200" s="51" t="s">
        <v>92</v>
      </c>
      <c r="F200" s="51">
        <v>2018</v>
      </c>
      <c r="G200" s="53">
        <v>4691</v>
      </c>
      <c r="H200" s="53">
        <v>1689</v>
      </c>
      <c r="I200" s="53">
        <v>3002</v>
      </c>
      <c r="J200" s="53">
        <v>21805</v>
      </c>
      <c r="K200" s="53">
        <v>84</v>
      </c>
      <c r="L200" s="53">
        <v>11</v>
      </c>
      <c r="M200" s="53">
        <v>21</v>
      </c>
      <c r="N200" s="53">
        <v>4334</v>
      </c>
      <c r="O200" s="53">
        <v>75808.311396180841</v>
      </c>
      <c r="P200" s="53">
        <v>2929</v>
      </c>
      <c r="Q200" s="53">
        <v>4662</v>
      </c>
      <c r="R200" s="53">
        <v>1234</v>
      </c>
      <c r="S200" s="53">
        <v>1572</v>
      </c>
      <c r="T200" s="53">
        <v>1155</v>
      </c>
      <c r="U200" s="53">
        <v>1749</v>
      </c>
      <c r="V200" s="53">
        <v>1765</v>
      </c>
      <c r="W200" s="53">
        <v>1070</v>
      </c>
      <c r="X200" s="53">
        <v>1194</v>
      </c>
      <c r="Y200" s="53">
        <v>1064</v>
      </c>
      <c r="Z200" s="53">
        <v>4691</v>
      </c>
      <c r="AA200" s="53">
        <v>70616739.590000004</v>
      </c>
      <c r="AB200" s="53">
        <v>280</v>
      </c>
      <c r="AC200" s="53">
        <v>4462</v>
      </c>
      <c r="AD200" s="53">
        <v>287</v>
      </c>
      <c r="AE200" s="53">
        <v>145</v>
      </c>
      <c r="AF200" s="53">
        <v>429</v>
      </c>
      <c r="AG200" s="53">
        <v>125</v>
      </c>
      <c r="AH200" s="53">
        <v>146</v>
      </c>
      <c r="AI200" s="54">
        <v>3514</v>
      </c>
      <c r="AJ200" s="53">
        <v>298</v>
      </c>
      <c r="AK200" s="53">
        <v>4</v>
      </c>
      <c r="AL200" s="53">
        <v>3634.1177000000002</v>
      </c>
      <c r="AM200" s="53">
        <v>1532</v>
      </c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</row>
    <row r="201" spans="1:56" hidden="1" x14ac:dyDescent="0.25">
      <c r="A201" s="51" t="s">
        <v>49</v>
      </c>
      <c r="B201" s="52">
        <v>2</v>
      </c>
      <c r="C201" s="51" t="s">
        <v>55</v>
      </c>
      <c r="D201" s="51" t="s">
        <v>3</v>
      </c>
      <c r="E201" s="51" t="s">
        <v>92</v>
      </c>
      <c r="F201" s="51">
        <v>2018</v>
      </c>
      <c r="G201" s="53">
        <v>8462</v>
      </c>
      <c r="H201" s="53">
        <v>3296</v>
      </c>
      <c r="I201" s="53">
        <v>5166</v>
      </c>
      <c r="J201" s="53">
        <v>56479</v>
      </c>
      <c r="K201" s="53">
        <v>125</v>
      </c>
      <c r="L201" s="53">
        <v>32</v>
      </c>
      <c r="M201" s="53">
        <v>24</v>
      </c>
      <c r="N201" s="53">
        <v>6581</v>
      </c>
      <c r="O201" s="53">
        <v>186658.86964677856</v>
      </c>
      <c r="P201" s="53">
        <v>3633</v>
      </c>
      <c r="Q201" s="53">
        <v>8249</v>
      </c>
      <c r="R201" s="53">
        <v>1657</v>
      </c>
      <c r="S201" s="53">
        <v>3296</v>
      </c>
      <c r="T201" s="53">
        <v>1543</v>
      </c>
      <c r="U201" s="53">
        <v>3120</v>
      </c>
      <c r="V201" s="53">
        <v>3651</v>
      </c>
      <c r="W201" s="53">
        <v>1412</v>
      </c>
      <c r="X201" s="53">
        <v>1263</v>
      </c>
      <c r="Y201" s="53">
        <v>1059</v>
      </c>
      <c r="Z201" s="53">
        <v>8462</v>
      </c>
      <c r="AA201" s="53">
        <v>138342186.01499999</v>
      </c>
      <c r="AB201" s="53">
        <v>401</v>
      </c>
      <c r="AC201" s="53">
        <v>7058</v>
      </c>
      <c r="AD201" s="53">
        <v>275</v>
      </c>
      <c r="AE201" s="53">
        <v>203</v>
      </c>
      <c r="AF201" s="53">
        <v>749</v>
      </c>
      <c r="AG201" s="53">
        <v>156</v>
      </c>
      <c r="AH201" s="53">
        <v>203</v>
      </c>
      <c r="AI201" s="54">
        <v>5453</v>
      </c>
      <c r="AJ201" s="53">
        <v>42</v>
      </c>
      <c r="AK201" s="53">
        <v>6</v>
      </c>
      <c r="AL201" s="53">
        <v>8462</v>
      </c>
      <c r="AM201" s="53">
        <v>66</v>
      </c>
      <c r="AN201" s="53">
        <v>191</v>
      </c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</row>
    <row r="202" spans="1:56" hidden="1" x14ac:dyDescent="0.25">
      <c r="A202" s="51" t="s">
        <v>49</v>
      </c>
      <c r="B202" s="52">
        <v>3</v>
      </c>
      <c r="C202" s="51" t="s">
        <v>56</v>
      </c>
      <c r="D202" s="51" t="s">
        <v>4</v>
      </c>
      <c r="E202" s="51" t="s">
        <v>92</v>
      </c>
      <c r="F202" s="51">
        <v>2018</v>
      </c>
      <c r="G202" s="53">
        <v>1697</v>
      </c>
      <c r="H202" s="53">
        <v>679</v>
      </c>
      <c r="I202" s="53">
        <v>1018</v>
      </c>
      <c r="J202" s="53">
        <v>11931</v>
      </c>
      <c r="K202" s="53">
        <v>18</v>
      </c>
      <c r="L202" s="53">
        <v>5</v>
      </c>
      <c r="M202" s="53">
        <v>1</v>
      </c>
      <c r="N202" s="53">
        <v>1302</v>
      </c>
      <c r="O202" s="53">
        <v>42737.553261914298</v>
      </c>
      <c r="P202" s="53">
        <v>998</v>
      </c>
      <c r="Q202" s="53">
        <v>1664</v>
      </c>
      <c r="R202" s="53">
        <v>407</v>
      </c>
      <c r="S202" s="53">
        <v>496</v>
      </c>
      <c r="T202" s="53">
        <v>516</v>
      </c>
      <c r="U202" s="53">
        <v>884</v>
      </c>
      <c r="V202" s="53">
        <v>660</v>
      </c>
      <c r="W202" s="53">
        <v>344</v>
      </c>
      <c r="X202" s="53">
        <v>352</v>
      </c>
      <c r="Y202" s="53">
        <v>343</v>
      </c>
      <c r="Z202" s="53">
        <v>1697</v>
      </c>
      <c r="AA202" s="53">
        <v>34713244.295000002</v>
      </c>
      <c r="AB202" s="53">
        <v>86</v>
      </c>
      <c r="AC202" s="53">
        <v>1670</v>
      </c>
      <c r="AD202" s="53">
        <v>153</v>
      </c>
      <c r="AE202" s="53">
        <v>69</v>
      </c>
      <c r="AF202" s="53">
        <v>217</v>
      </c>
      <c r="AG202" s="53">
        <v>43</v>
      </c>
      <c r="AH202" s="53">
        <v>59</v>
      </c>
      <c r="AI202" s="54">
        <v>892</v>
      </c>
      <c r="AJ202" s="53">
        <v>1</v>
      </c>
      <c r="AK202" s="53">
        <v>1</v>
      </c>
      <c r="AL202" s="53">
        <v>992.06619999999998</v>
      </c>
      <c r="AM202" s="53">
        <v>26</v>
      </c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</row>
    <row r="203" spans="1:56" hidden="1" x14ac:dyDescent="0.25">
      <c r="A203" s="51" t="s">
        <v>49</v>
      </c>
      <c r="B203" s="52">
        <v>4</v>
      </c>
      <c r="C203" s="51" t="s">
        <v>57</v>
      </c>
      <c r="D203" s="51" t="s">
        <v>5</v>
      </c>
      <c r="E203" s="51" t="s">
        <v>92</v>
      </c>
      <c r="F203" s="51">
        <v>2018</v>
      </c>
      <c r="G203" s="53">
        <v>1896</v>
      </c>
      <c r="H203" s="53">
        <v>798</v>
      </c>
      <c r="I203" s="53">
        <v>1098</v>
      </c>
      <c r="J203" s="53">
        <v>14821</v>
      </c>
      <c r="K203" s="53">
        <v>41</v>
      </c>
      <c r="L203" s="53">
        <v>9</v>
      </c>
      <c r="M203" s="53">
        <v>12</v>
      </c>
      <c r="N203" s="53">
        <v>1410</v>
      </c>
      <c r="O203" s="53">
        <v>48515.707763085884</v>
      </c>
      <c r="P203" s="53">
        <v>890</v>
      </c>
      <c r="Q203" s="53">
        <v>1809</v>
      </c>
      <c r="R203" s="53">
        <v>399</v>
      </c>
      <c r="S203" s="53">
        <v>640</v>
      </c>
      <c r="T203" s="53">
        <v>383</v>
      </c>
      <c r="U203" s="53">
        <v>799</v>
      </c>
      <c r="V203" s="53">
        <v>753</v>
      </c>
      <c r="W203" s="53">
        <v>347</v>
      </c>
      <c r="X203" s="53">
        <v>348</v>
      </c>
      <c r="Y203" s="53">
        <v>331</v>
      </c>
      <c r="Z203" s="53">
        <v>1896</v>
      </c>
      <c r="AA203" s="53">
        <v>41514866.774999999</v>
      </c>
      <c r="AB203" s="53">
        <v>103</v>
      </c>
      <c r="AC203" s="53">
        <v>1617</v>
      </c>
      <c r="AD203" s="53">
        <v>152</v>
      </c>
      <c r="AE203" s="53">
        <v>101</v>
      </c>
      <c r="AF203" s="53">
        <v>331</v>
      </c>
      <c r="AG203" s="53">
        <v>77</v>
      </c>
      <c r="AH203" s="53">
        <v>71</v>
      </c>
      <c r="AI203" s="54">
        <v>4126</v>
      </c>
      <c r="AJ203" s="53">
        <v>28</v>
      </c>
      <c r="AK203" s="53">
        <v>3</v>
      </c>
      <c r="AL203" s="53">
        <v>1896</v>
      </c>
      <c r="AM203" s="53">
        <v>412</v>
      </c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</row>
    <row r="204" spans="1:56" hidden="1" x14ac:dyDescent="0.25">
      <c r="A204" s="51" t="s">
        <v>49</v>
      </c>
      <c r="B204" s="52">
        <v>7</v>
      </c>
      <c r="C204" s="51" t="s">
        <v>58</v>
      </c>
      <c r="D204" s="51" t="s">
        <v>6</v>
      </c>
      <c r="E204" s="51" t="s">
        <v>92</v>
      </c>
      <c r="F204" s="51">
        <v>2018</v>
      </c>
      <c r="G204" s="53">
        <v>7012</v>
      </c>
      <c r="H204" s="53">
        <v>2491</v>
      </c>
      <c r="I204" s="53">
        <v>4521</v>
      </c>
      <c r="J204" s="53">
        <v>92666</v>
      </c>
      <c r="K204" s="53">
        <v>161</v>
      </c>
      <c r="L204" s="53">
        <v>18</v>
      </c>
      <c r="M204" s="53">
        <v>49</v>
      </c>
      <c r="N204" s="53">
        <v>5908</v>
      </c>
      <c r="O204" s="53">
        <v>337660.69736999623</v>
      </c>
      <c r="P204" s="53">
        <v>3014</v>
      </c>
      <c r="Q204" s="53">
        <v>7408</v>
      </c>
      <c r="R204" s="53">
        <v>1967</v>
      </c>
      <c r="S204" s="53">
        <v>2222</v>
      </c>
      <c r="T204" s="53">
        <v>1876</v>
      </c>
      <c r="U204" s="53">
        <v>3054</v>
      </c>
      <c r="V204" s="53">
        <v>2774</v>
      </c>
      <c r="W204" s="53">
        <v>1786</v>
      </c>
      <c r="X204" s="53">
        <v>1669</v>
      </c>
      <c r="Y204" s="53">
        <v>1457</v>
      </c>
      <c r="Z204" s="53">
        <v>7012</v>
      </c>
      <c r="AA204" s="53">
        <v>178638342.06</v>
      </c>
      <c r="AB204" s="53">
        <v>404</v>
      </c>
      <c r="AC204" s="53">
        <v>7072</v>
      </c>
      <c r="AD204" s="53">
        <v>382</v>
      </c>
      <c r="AE204" s="53">
        <v>314</v>
      </c>
      <c r="AF204" s="53">
        <v>714</v>
      </c>
      <c r="AG204" s="53">
        <v>197</v>
      </c>
      <c r="AH204" s="53">
        <v>234</v>
      </c>
      <c r="AI204" s="54">
        <v>2459</v>
      </c>
      <c r="AJ204" s="53">
        <v>59</v>
      </c>
      <c r="AK204" s="53">
        <v>2</v>
      </c>
      <c r="AL204" s="53">
        <v>1884.1243999999999</v>
      </c>
      <c r="AM204" s="53">
        <v>92</v>
      </c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</row>
    <row r="205" spans="1:56" hidden="1" x14ac:dyDescent="0.25">
      <c r="A205" s="51" t="s">
        <v>49</v>
      </c>
      <c r="B205" s="52">
        <v>8</v>
      </c>
      <c r="C205" s="51" t="s">
        <v>59</v>
      </c>
      <c r="D205" s="51" t="s">
        <v>7</v>
      </c>
      <c r="E205" s="51" t="s">
        <v>92</v>
      </c>
      <c r="F205" s="51">
        <v>2018</v>
      </c>
      <c r="G205" s="53">
        <v>8573</v>
      </c>
      <c r="H205" s="53">
        <v>3347</v>
      </c>
      <c r="I205" s="53">
        <v>5226</v>
      </c>
      <c r="J205" s="53">
        <v>55045</v>
      </c>
      <c r="K205" s="53">
        <v>153</v>
      </c>
      <c r="L205" s="53">
        <v>47</v>
      </c>
      <c r="M205" s="53">
        <v>29</v>
      </c>
      <c r="N205" s="53">
        <v>7550</v>
      </c>
      <c r="O205" s="53">
        <v>203462.17822436258</v>
      </c>
      <c r="P205" s="53">
        <v>4072</v>
      </c>
      <c r="Q205" s="53">
        <v>9203</v>
      </c>
      <c r="R205" s="53">
        <v>2135</v>
      </c>
      <c r="S205" s="53">
        <v>3287</v>
      </c>
      <c r="T205" s="53">
        <v>2030</v>
      </c>
      <c r="U205" s="53">
        <v>3670</v>
      </c>
      <c r="V205" s="53">
        <v>4125</v>
      </c>
      <c r="W205" s="53">
        <v>1917</v>
      </c>
      <c r="X205" s="53">
        <v>1759</v>
      </c>
      <c r="Y205" s="53">
        <v>1559</v>
      </c>
      <c r="Z205" s="53">
        <v>8573</v>
      </c>
      <c r="AA205" s="53">
        <v>170095384.97</v>
      </c>
      <c r="AB205" s="53">
        <v>579</v>
      </c>
      <c r="AC205" s="53">
        <v>8087</v>
      </c>
      <c r="AD205" s="53">
        <v>294</v>
      </c>
      <c r="AE205" s="53">
        <v>255</v>
      </c>
      <c r="AF205" s="53">
        <v>983</v>
      </c>
      <c r="AG205" s="53">
        <v>165</v>
      </c>
      <c r="AH205" s="53">
        <v>234</v>
      </c>
      <c r="AI205" s="54">
        <v>7969</v>
      </c>
      <c r="AJ205" s="53">
        <v>433</v>
      </c>
      <c r="AK205" s="53">
        <v>6</v>
      </c>
      <c r="AL205" s="53">
        <v>7024.7161999999998</v>
      </c>
      <c r="AM205" s="53">
        <v>752</v>
      </c>
      <c r="AN205" s="53">
        <v>898</v>
      </c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</row>
    <row r="206" spans="1:56" hidden="1" x14ac:dyDescent="0.25">
      <c r="A206" s="51" t="s">
        <v>50</v>
      </c>
      <c r="B206" s="52">
        <v>9</v>
      </c>
      <c r="C206" s="51" t="s">
        <v>84</v>
      </c>
      <c r="D206" s="51" t="s">
        <v>32</v>
      </c>
      <c r="E206" s="51" t="s">
        <v>92</v>
      </c>
      <c r="F206" s="51">
        <v>2018</v>
      </c>
      <c r="G206" s="53">
        <v>44161</v>
      </c>
      <c r="H206" s="53">
        <v>18512</v>
      </c>
      <c r="I206" s="53">
        <v>25649</v>
      </c>
      <c r="J206" s="53">
        <v>143823</v>
      </c>
      <c r="K206" s="53">
        <v>582</v>
      </c>
      <c r="L206" s="53">
        <v>136</v>
      </c>
      <c r="M206" s="53">
        <v>134</v>
      </c>
      <c r="N206" s="53">
        <v>35063</v>
      </c>
      <c r="O206" s="53">
        <v>389384.78122435423</v>
      </c>
      <c r="P206" s="53">
        <v>24850</v>
      </c>
      <c r="Q206" s="53">
        <v>44212</v>
      </c>
      <c r="R206" s="53">
        <v>9312</v>
      </c>
      <c r="S206" s="53">
        <v>21745</v>
      </c>
      <c r="T206" s="53">
        <v>7941</v>
      </c>
      <c r="U206" s="53">
        <v>17832</v>
      </c>
      <c r="V206" s="53">
        <v>19962</v>
      </c>
      <c r="W206" s="53">
        <v>7909</v>
      </c>
      <c r="X206" s="53">
        <v>7196</v>
      </c>
      <c r="Y206" s="53">
        <v>4704</v>
      </c>
      <c r="Z206" s="53">
        <v>44161</v>
      </c>
      <c r="AA206" s="53">
        <v>694705445.45000005</v>
      </c>
      <c r="AB206" s="53">
        <v>2173</v>
      </c>
      <c r="AC206" s="53">
        <v>37862</v>
      </c>
      <c r="AD206" s="53">
        <v>1406</v>
      </c>
      <c r="AE206" s="53">
        <v>375</v>
      </c>
      <c r="AF206" s="53">
        <v>3705</v>
      </c>
      <c r="AG206" s="53">
        <v>946</v>
      </c>
      <c r="AH206" s="53">
        <v>1373</v>
      </c>
      <c r="AI206" s="54">
        <v>8387</v>
      </c>
      <c r="AJ206" s="53">
        <v>998</v>
      </c>
      <c r="AK206" s="53">
        <v>26</v>
      </c>
      <c r="AL206" s="53">
        <v>42884.747100000001</v>
      </c>
      <c r="AM206" s="53">
        <v>1708</v>
      </c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</row>
    <row r="207" spans="1:56" hidden="1" x14ac:dyDescent="0.25">
      <c r="A207" s="51" t="s">
        <v>49</v>
      </c>
      <c r="B207" s="52">
        <v>5</v>
      </c>
      <c r="C207" s="51" t="s">
        <v>60</v>
      </c>
      <c r="D207" s="51" t="s">
        <v>31</v>
      </c>
      <c r="E207" s="51" t="s">
        <v>92</v>
      </c>
      <c r="F207" s="51">
        <v>2018</v>
      </c>
      <c r="G207" s="53">
        <v>10398</v>
      </c>
      <c r="H207" s="53">
        <v>3963</v>
      </c>
      <c r="I207" s="53">
        <v>6435</v>
      </c>
      <c r="J207" s="53">
        <v>59454</v>
      </c>
      <c r="K207" s="53">
        <v>134</v>
      </c>
      <c r="L207" s="53">
        <v>45</v>
      </c>
      <c r="M207" s="53">
        <v>37</v>
      </c>
      <c r="N207" s="53">
        <v>9011</v>
      </c>
      <c r="O207" s="53">
        <v>163335.43795797112</v>
      </c>
      <c r="P207" s="53">
        <v>5009</v>
      </c>
      <c r="Q207" s="53">
        <v>10066</v>
      </c>
      <c r="R207" s="53">
        <v>2703</v>
      </c>
      <c r="S207" s="53">
        <v>2344</v>
      </c>
      <c r="T207" s="53">
        <v>1860</v>
      </c>
      <c r="U207" s="53">
        <v>3155</v>
      </c>
      <c r="V207" s="53">
        <v>4120</v>
      </c>
      <c r="W207" s="53">
        <v>2500</v>
      </c>
      <c r="X207" s="53">
        <v>2042</v>
      </c>
      <c r="Y207" s="53">
        <v>2036</v>
      </c>
      <c r="Z207" s="53">
        <v>10398</v>
      </c>
      <c r="AA207" s="53">
        <v>150515608.10499999</v>
      </c>
      <c r="AB207" s="53">
        <v>419</v>
      </c>
      <c r="AC207" s="53">
        <v>8669</v>
      </c>
      <c r="AD207" s="53">
        <v>357</v>
      </c>
      <c r="AE207" s="53">
        <v>78</v>
      </c>
      <c r="AF207" s="53">
        <v>1141</v>
      </c>
      <c r="AG207" s="53">
        <v>168</v>
      </c>
      <c r="AH207" s="53">
        <v>234</v>
      </c>
      <c r="AI207" s="54">
        <v>3892</v>
      </c>
      <c r="AJ207" s="53">
        <v>34</v>
      </c>
      <c r="AK207" s="53">
        <v>9</v>
      </c>
      <c r="AL207" s="53">
        <v>10398</v>
      </c>
      <c r="AM207" s="53">
        <v>335</v>
      </c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</row>
    <row r="208" spans="1:56" hidden="1" x14ac:dyDescent="0.25">
      <c r="A208" s="51" t="s">
        <v>49</v>
      </c>
      <c r="B208" s="52">
        <v>6</v>
      </c>
      <c r="C208" s="51" t="s">
        <v>61</v>
      </c>
      <c r="D208" s="51" t="s">
        <v>8</v>
      </c>
      <c r="E208" s="51" t="s">
        <v>92</v>
      </c>
      <c r="F208" s="51">
        <v>2018</v>
      </c>
      <c r="G208" s="53">
        <v>1891</v>
      </c>
      <c r="H208" s="53">
        <v>763</v>
      </c>
      <c r="I208" s="53">
        <v>1128</v>
      </c>
      <c r="J208" s="53">
        <v>10048</v>
      </c>
      <c r="K208" s="53">
        <v>47</v>
      </c>
      <c r="L208" s="53">
        <v>6</v>
      </c>
      <c r="M208" s="53">
        <v>11</v>
      </c>
      <c r="N208" s="53">
        <v>1231</v>
      </c>
      <c r="O208" s="53">
        <v>38472.361797444217</v>
      </c>
      <c r="P208" s="53">
        <v>872</v>
      </c>
      <c r="Q208" s="53">
        <v>1866</v>
      </c>
      <c r="R208" s="53">
        <v>425</v>
      </c>
      <c r="S208" s="53">
        <v>894</v>
      </c>
      <c r="T208" s="53">
        <v>343</v>
      </c>
      <c r="U208" s="53">
        <v>813</v>
      </c>
      <c r="V208" s="53">
        <v>883</v>
      </c>
      <c r="W208" s="53">
        <v>343</v>
      </c>
      <c r="X208" s="53">
        <v>305</v>
      </c>
      <c r="Y208" s="53">
        <v>273</v>
      </c>
      <c r="Z208" s="53">
        <v>1891</v>
      </c>
      <c r="AA208" s="53">
        <v>41980594.155000001</v>
      </c>
      <c r="AB208" s="53">
        <v>124</v>
      </c>
      <c r="AC208" s="53">
        <v>1681</v>
      </c>
      <c r="AD208" s="53">
        <v>237</v>
      </c>
      <c r="AE208" s="53">
        <v>1418</v>
      </c>
      <c r="AF208" s="53">
        <v>320</v>
      </c>
      <c r="AG208" s="53">
        <v>100</v>
      </c>
      <c r="AH208" s="53">
        <v>81</v>
      </c>
      <c r="AI208" s="54">
        <v>1128</v>
      </c>
      <c r="AJ208" s="53">
        <v>34</v>
      </c>
      <c r="AK208" s="53">
        <v>3</v>
      </c>
      <c r="AL208" s="53">
        <v>1891</v>
      </c>
      <c r="AM208" s="53">
        <v>215</v>
      </c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</row>
    <row r="209" spans="1:56" hidden="1" x14ac:dyDescent="0.25">
      <c r="A209" s="51" t="s">
        <v>49</v>
      </c>
      <c r="B209" s="52">
        <v>10</v>
      </c>
      <c r="C209" s="51" t="s">
        <v>62</v>
      </c>
      <c r="D209" s="51" t="s">
        <v>9</v>
      </c>
      <c r="E209" s="51" t="s">
        <v>92</v>
      </c>
      <c r="F209" s="51">
        <v>2018</v>
      </c>
      <c r="G209" s="53">
        <v>1930</v>
      </c>
      <c r="H209" s="53">
        <v>744</v>
      </c>
      <c r="I209" s="53">
        <v>1186</v>
      </c>
      <c r="J209" s="53">
        <v>32285</v>
      </c>
      <c r="K209" s="53">
        <v>51</v>
      </c>
      <c r="L209" s="53">
        <v>19</v>
      </c>
      <c r="M209" s="53">
        <v>10</v>
      </c>
      <c r="N209" s="53">
        <v>1565</v>
      </c>
      <c r="O209" s="53">
        <v>101820.24451699779</v>
      </c>
      <c r="P209" s="53">
        <v>835</v>
      </c>
      <c r="Q209" s="53">
        <v>2067</v>
      </c>
      <c r="R209" s="53">
        <v>408</v>
      </c>
      <c r="S209" s="53">
        <v>987</v>
      </c>
      <c r="T209" s="53">
        <v>457</v>
      </c>
      <c r="U209" s="53">
        <v>1022</v>
      </c>
      <c r="V209" s="53">
        <v>936</v>
      </c>
      <c r="W209" s="53">
        <v>360</v>
      </c>
      <c r="X209" s="53">
        <v>398</v>
      </c>
      <c r="Y209" s="53">
        <v>283</v>
      </c>
      <c r="Z209" s="53">
        <v>1930</v>
      </c>
      <c r="AA209" s="53">
        <v>41121216.439999998</v>
      </c>
      <c r="AB209" s="53">
        <v>156</v>
      </c>
      <c r="AC209" s="53">
        <v>1787</v>
      </c>
      <c r="AD209" s="53">
        <v>164</v>
      </c>
      <c r="AE209" s="53">
        <v>92</v>
      </c>
      <c r="AF209" s="53">
        <v>260</v>
      </c>
      <c r="AG209" s="53">
        <v>76</v>
      </c>
      <c r="AH209" s="53">
        <v>78</v>
      </c>
      <c r="AI209" s="54">
        <v>3123</v>
      </c>
      <c r="AJ209" s="53">
        <v>57</v>
      </c>
      <c r="AK209" s="53">
        <v>2</v>
      </c>
      <c r="AL209" s="53">
        <v>1782.934</v>
      </c>
      <c r="AM209" s="53">
        <v>223</v>
      </c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</row>
    <row r="210" spans="1:56" hidden="1" x14ac:dyDescent="0.25">
      <c r="A210" s="51" t="s">
        <v>49</v>
      </c>
      <c r="B210" s="52">
        <v>11</v>
      </c>
      <c r="C210" s="51" t="s">
        <v>63</v>
      </c>
      <c r="D210" s="51" t="s">
        <v>10</v>
      </c>
      <c r="E210" s="51" t="s">
        <v>92</v>
      </c>
      <c r="F210" s="51">
        <v>2018</v>
      </c>
      <c r="G210" s="53">
        <v>18132</v>
      </c>
      <c r="H210" s="53">
        <v>6642</v>
      </c>
      <c r="I210" s="53">
        <v>11490</v>
      </c>
      <c r="J210" s="53">
        <v>120395</v>
      </c>
      <c r="K210" s="53">
        <v>293</v>
      </c>
      <c r="L210" s="53">
        <v>94</v>
      </c>
      <c r="M210" s="53">
        <v>82</v>
      </c>
      <c r="N210" s="53">
        <v>15005</v>
      </c>
      <c r="O210" s="53">
        <v>336593.79068756441</v>
      </c>
      <c r="P210" s="53">
        <v>8813</v>
      </c>
      <c r="Q210" s="53">
        <v>18067</v>
      </c>
      <c r="R210" s="53">
        <v>4452</v>
      </c>
      <c r="S210" s="53">
        <v>6554</v>
      </c>
      <c r="T210" s="53">
        <v>4979</v>
      </c>
      <c r="U210" s="53">
        <v>8079</v>
      </c>
      <c r="V210" s="53">
        <v>6444</v>
      </c>
      <c r="W210" s="53">
        <v>4130</v>
      </c>
      <c r="X210" s="53">
        <v>4047</v>
      </c>
      <c r="Y210" s="53">
        <v>3859</v>
      </c>
      <c r="Z210" s="53">
        <v>18132</v>
      </c>
      <c r="AA210" s="53">
        <v>262369796.815</v>
      </c>
      <c r="AB210" s="53">
        <v>863</v>
      </c>
      <c r="AC210" s="53">
        <v>16023</v>
      </c>
      <c r="AD210" s="53">
        <v>753</v>
      </c>
      <c r="AE210" s="53">
        <v>642</v>
      </c>
      <c r="AF210" s="53">
        <v>2187</v>
      </c>
      <c r="AG210" s="53">
        <v>494</v>
      </c>
      <c r="AH210" s="53">
        <v>445</v>
      </c>
      <c r="AI210" s="54">
        <v>8126</v>
      </c>
      <c r="AJ210" s="53">
        <v>516</v>
      </c>
      <c r="AK210" s="53">
        <v>16</v>
      </c>
      <c r="AL210" s="53">
        <v>18132</v>
      </c>
      <c r="AM210" s="53">
        <v>6410</v>
      </c>
      <c r="AN210" s="53">
        <v>16429</v>
      </c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</row>
    <row r="211" spans="1:56" hidden="1" x14ac:dyDescent="0.25">
      <c r="A211" s="51" t="s">
        <v>49</v>
      </c>
      <c r="B211" s="52">
        <v>12</v>
      </c>
      <c r="C211" s="51" t="s">
        <v>64</v>
      </c>
      <c r="D211" s="51" t="s">
        <v>11</v>
      </c>
      <c r="E211" s="51" t="s">
        <v>92</v>
      </c>
      <c r="F211" s="51">
        <v>2018</v>
      </c>
      <c r="G211" s="53">
        <v>6134</v>
      </c>
      <c r="H211" s="53">
        <v>2388</v>
      </c>
      <c r="I211" s="53">
        <v>3746</v>
      </c>
      <c r="J211" s="53">
        <v>65658</v>
      </c>
      <c r="K211" s="53">
        <v>129</v>
      </c>
      <c r="L211" s="53">
        <v>22</v>
      </c>
      <c r="M211" s="53">
        <v>43</v>
      </c>
      <c r="N211" s="53">
        <v>4957</v>
      </c>
      <c r="O211" s="53">
        <v>219410.76827348556</v>
      </c>
      <c r="P211" s="53">
        <v>3143</v>
      </c>
      <c r="Q211" s="53">
        <v>6152</v>
      </c>
      <c r="R211" s="53">
        <v>1536</v>
      </c>
      <c r="S211" s="53">
        <v>2667</v>
      </c>
      <c r="T211" s="53">
        <v>1509</v>
      </c>
      <c r="U211" s="53">
        <v>2731</v>
      </c>
      <c r="V211" s="53">
        <v>2626</v>
      </c>
      <c r="W211" s="53">
        <v>1375</v>
      </c>
      <c r="X211" s="53">
        <v>1362</v>
      </c>
      <c r="Y211" s="53">
        <v>875</v>
      </c>
      <c r="Z211" s="53">
        <v>6134</v>
      </c>
      <c r="AA211" s="53">
        <v>144889688</v>
      </c>
      <c r="AB211" s="53">
        <v>297</v>
      </c>
      <c r="AC211" s="53">
        <v>5745</v>
      </c>
      <c r="AD211" s="53">
        <v>239</v>
      </c>
      <c r="AE211" s="53">
        <v>209</v>
      </c>
      <c r="AF211" s="53">
        <v>719</v>
      </c>
      <c r="AG211" s="53">
        <v>179</v>
      </c>
      <c r="AH211" s="53">
        <v>232</v>
      </c>
      <c r="AI211" s="54">
        <v>7440</v>
      </c>
      <c r="AJ211" s="53">
        <v>1041</v>
      </c>
      <c r="AK211" s="53">
        <v>4</v>
      </c>
      <c r="AL211" s="53">
        <v>2746.1918000000001</v>
      </c>
      <c r="AM211" s="53">
        <v>852</v>
      </c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</row>
    <row r="212" spans="1:56" hidden="1" x14ac:dyDescent="0.25">
      <c r="A212" s="51" t="s">
        <v>49</v>
      </c>
      <c r="B212" s="52">
        <v>13</v>
      </c>
      <c r="C212" s="51" t="s">
        <v>65</v>
      </c>
      <c r="D212" s="51" t="s">
        <v>12</v>
      </c>
      <c r="E212" s="51" t="s">
        <v>92</v>
      </c>
      <c r="F212" s="51">
        <v>2018</v>
      </c>
      <c r="G212" s="53">
        <v>3519</v>
      </c>
      <c r="H212" s="53">
        <v>1421</v>
      </c>
      <c r="I212" s="53">
        <v>2098</v>
      </c>
      <c r="J212" s="53">
        <v>53733</v>
      </c>
      <c r="K212" s="53">
        <v>69</v>
      </c>
      <c r="L212" s="53">
        <v>38</v>
      </c>
      <c r="M212" s="53">
        <v>17</v>
      </c>
      <c r="N212" s="53">
        <v>3102</v>
      </c>
      <c r="O212" s="53">
        <v>161832.19050681879</v>
      </c>
      <c r="P212" s="53">
        <v>1648</v>
      </c>
      <c r="Q212" s="53">
        <v>3648</v>
      </c>
      <c r="R212" s="53">
        <v>934</v>
      </c>
      <c r="S212" s="53">
        <v>1167</v>
      </c>
      <c r="T212" s="53">
        <v>824</v>
      </c>
      <c r="U212" s="53">
        <v>1716</v>
      </c>
      <c r="V212" s="53">
        <v>1678</v>
      </c>
      <c r="W212" s="53">
        <v>835</v>
      </c>
      <c r="X212" s="53">
        <v>693</v>
      </c>
      <c r="Y212" s="53">
        <v>687</v>
      </c>
      <c r="Z212" s="53">
        <v>3519</v>
      </c>
      <c r="AA212" s="53">
        <v>64281548.229999997</v>
      </c>
      <c r="AB212" s="53">
        <v>205</v>
      </c>
      <c r="AC212" s="53">
        <v>3220</v>
      </c>
      <c r="AD212" s="53">
        <v>251</v>
      </c>
      <c r="AE212" s="53">
        <v>147</v>
      </c>
      <c r="AF212" s="53">
        <v>428</v>
      </c>
      <c r="AG212" s="53">
        <v>112</v>
      </c>
      <c r="AH212" s="53">
        <v>168</v>
      </c>
      <c r="AI212" s="54">
        <v>1323</v>
      </c>
      <c r="AJ212" s="53">
        <v>501</v>
      </c>
      <c r="AK212" s="53">
        <v>6</v>
      </c>
      <c r="AL212" s="53">
        <v>3519</v>
      </c>
      <c r="AM212" s="53">
        <v>105</v>
      </c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</row>
    <row r="213" spans="1:56" hidden="1" x14ac:dyDescent="0.25">
      <c r="A213" s="51" t="s">
        <v>49</v>
      </c>
      <c r="B213" s="52">
        <v>14</v>
      </c>
      <c r="C213" s="51" t="s">
        <v>66</v>
      </c>
      <c r="D213" s="51" t="s">
        <v>13</v>
      </c>
      <c r="E213" s="51" t="s">
        <v>92</v>
      </c>
      <c r="F213" s="51">
        <v>2018</v>
      </c>
      <c r="G213" s="53">
        <v>14341</v>
      </c>
      <c r="H213" s="53">
        <v>5515</v>
      </c>
      <c r="I213" s="53">
        <v>8826</v>
      </c>
      <c r="J213" s="53">
        <v>134896</v>
      </c>
      <c r="K213" s="53">
        <v>272</v>
      </c>
      <c r="L213" s="53">
        <v>36</v>
      </c>
      <c r="M213" s="53">
        <v>67</v>
      </c>
      <c r="N213" s="53">
        <v>11644</v>
      </c>
      <c r="O213" s="53">
        <v>433925.91746385908</v>
      </c>
      <c r="P213" s="53">
        <v>5788</v>
      </c>
      <c r="Q213" s="53">
        <v>14856</v>
      </c>
      <c r="R213" s="53">
        <v>3444</v>
      </c>
      <c r="S213" s="53">
        <v>5199</v>
      </c>
      <c r="T213" s="53">
        <v>3151</v>
      </c>
      <c r="U213" s="53">
        <v>5644</v>
      </c>
      <c r="V213" s="53">
        <v>5953</v>
      </c>
      <c r="W213" s="53">
        <v>3056</v>
      </c>
      <c r="X213" s="53">
        <v>2823</v>
      </c>
      <c r="Y213" s="53">
        <v>2409</v>
      </c>
      <c r="Z213" s="53">
        <v>14341</v>
      </c>
      <c r="AA213" s="53">
        <v>265319155.36000001</v>
      </c>
      <c r="AB213" s="53">
        <v>818</v>
      </c>
      <c r="AC213" s="53">
        <v>13241</v>
      </c>
      <c r="AD213" s="53">
        <v>705</v>
      </c>
      <c r="AE213" s="53">
        <v>695</v>
      </c>
      <c r="AF213" s="53">
        <v>2084</v>
      </c>
      <c r="AG213" s="53">
        <v>411</v>
      </c>
      <c r="AH213" s="53">
        <v>503</v>
      </c>
      <c r="AI213" s="54">
        <v>12472</v>
      </c>
      <c r="AJ213" s="53">
        <v>793</v>
      </c>
      <c r="AK213" s="53">
        <v>16</v>
      </c>
      <c r="AL213" s="53">
        <v>12843.7996</v>
      </c>
      <c r="AM213" s="53">
        <v>158</v>
      </c>
      <c r="AN213" s="53">
        <v>602</v>
      </c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</row>
    <row r="214" spans="1:56" hidden="1" x14ac:dyDescent="0.25">
      <c r="A214" s="51" t="s">
        <v>49</v>
      </c>
      <c r="B214" s="52">
        <v>15</v>
      </c>
      <c r="C214" s="51" t="s">
        <v>67</v>
      </c>
      <c r="D214" s="51" t="s">
        <v>14</v>
      </c>
      <c r="E214" s="51" t="s">
        <v>92</v>
      </c>
      <c r="F214" s="51">
        <v>2018</v>
      </c>
      <c r="G214" s="53">
        <v>47926</v>
      </c>
      <c r="H214" s="53">
        <v>18922</v>
      </c>
      <c r="I214" s="53">
        <v>29004</v>
      </c>
      <c r="J214" s="53">
        <v>276938</v>
      </c>
      <c r="K214" s="53">
        <v>799</v>
      </c>
      <c r="L214" s="53">
        <v>182</v>
      </c>
      <c r="M214" s="53">
        <v>205</v>
      </c>
      <c r="N214" s="53">
        <v>41514</v>
      </c>
      <c r="O214" s="53">
        <v>915661.71066119196</v>
      </c>
      <c r="P214" s="53">
        <v>23969</v>
      </c>
      <c r="Q214" s="53">
        <v>48591</v>
      </c>
      <c r="R214" s="53">
        <v>11056</v>
      </c>
      <c r="S214" s="53">
        <v>18083</v>
      </c>
      <c r="T214" s="53">
        <v>9607</v>
      </c>
      <c r="U214" s="53">
        <v>19346</v>
      </c>
      <c r="V214" s="53">
        <v>20621</v>
      </c>
      <c r="W214" s="53">
        <v>9450</v>
      </c>
      <c r="X214" s="53">
        <v>8478</v>
      </c>
      <c r="Y214" s="53">
        <v>6665</v>
      </c>
      <c r="Z214" s="53">
        <v>47926</v>
      </c>
      <c r="AA214" s="53">
        <v>760825417.91999996</v>
      </c>
      <c r="AB214" s="53">
        <v>2280</v>
      </c>
      <c r="AC214" s="53">
        <v>43524</v>
      </c>
      <c r="AD214" s="53">
        <v>1395</v>
      </c>
      <c r="AE214" s="53">
        <v>1241</v>
      </c>
      <c r="AF214" s="53">
        <v>4445</v>
      </c>
      <c r="AG214" s="53">
        <v>1213</v>
      </c>
      <c r="AH214" s="53">
        <v>1300</v>
      </c>
      <c r="AI214" s="54">
        <v>11415</v>
      </c>
      <c r="AJ214" s="53">
        <v>1216</v>
      </c>
      <c r="AK214" s="53">
        <v>39</v>
      </c>
      <c r="AL214" s="53">
        <v>47926</v>
      </c>
      <c r="AM214" s="53">
        <v>67149</v>
      </c>
      <c r="AN214" s="53">
        <v>816</v>
      </c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</row>
    <row r="215" spans="1:56" hidden="1" x14ac:dyDescent="0.25">
      <c r="A215" s="51" t="s">
        <v>49</v>
      </c>
      <c r="B215" s="52">
        <v>16</v>
      </c>
      <c r="C215" s="51" t="s">
        <v>68</v>
      </c>
      <c r="D215" s="51" t="s">
        <v>30</v>
      </c>
      <c r="E215" s="51" t="s">
        <v>92</v>
      </c>
      <c r="F215" s="51">
        <v>2018</v>
      </c>
      <c r="G215" s="53">
        <v>11087</v>
      </c>
      <c r="H215" s="53">
        <v>4376</v>
      </c>
      <c r="I215" s="53">
        <v>6711</v>
      </c>
      <c r="J215" s="53">
        <v>64370</v>
      </c>
      <c r="K215" s="53">
        <v>221</v>
      </c>
      <c r="L215" s="53">
        <v>28</v>
      </c>
      <c r="M215" s="53">
        <v>52</v>
      </c>
      <c r="N215" s="53">
        <v>9457</v>
      </c>
      <c r="O215" s="53">
        <v>255970.68001497566</v>
      </c>
      <c r="P215" s="53">
        <v>5108</v>
      </c>
      <c r="Q215" s="53">
        <v>11181</v>
      </c>
      <c r="R215" s="53">
        <v>2701</v>
      </c>
      <c r="S215" s="53">
        <v>3809</v>
      </c>
      <c r="T215" s="53">
        <v>2732</v>
      </c>
      <c r="U215" s="53">
        <v>4749</v>
      </c>
      <c r="V215" s="53">
        <v>4395</v>
      </c>
      <c r="W215" s="53">
        <v>2319</v>
      </c>
      <c r="X215" s="53">
        <v>2425</v>
      </c>
      <c r="Y215" s="53">
        <v>2101</v>
      </c>
      <c r="Z215" s="53">
        <v>11087</v>
      </c>
      <c r="AA215" s="53">
        <v>207638682.71000001</v>
      </c>
      <c r="AB215" s="53">
        <v>440</v>
      </c>
      <c r="AC215" s="53">
        <v>10085</v>
      </c>
      <c r="AD215" s="53">
        <v>357</v>
      </c>
      <c r="AE215" s="53">
        <v>262</v>
      </c>
      <c r="AF215" s="53">
        <v>1204</v>
      </c>
      <c r="AG215" s="53">
        <v>270</v>
      </c>
      <c r="AH215" s="53">
        <v>355</v>
      </c>
      <c r="AI215" s="54">
        <v>2699</v>
      </c>
      <c r="AJ215" s="53">
        <v>428</v>
      </c>
      <c r="AK215" s="53">
        <v>9</v>
      </c>
      <c r="AL215" s="53">
        <v>7669.9866000000002</v>
      </c>
      <c r="AM215" s="53">
        <v>7206</v>
      </c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</row>
    <row r="216" spans="1:56" hidden="1" x14ac:dyDescent="0.25">
      <c r="A216" s="51" t="s">
        <v>49</v>
      </c>
      <c r="B216" s="52">
        <v>17</v>
      </c>
      <c r="C216" s="51" t="s">
        <v>69</v>
      </c>
      <c r="D216" s="51" t="s">
        <v>15</v>
      </c>
      <c r="E216" s="51" t="s">
        <v>92</v>
      </c>
      <c r="F216" s="51">
        <v>2018</v>
      </c>
      <c r="G216" s="53">
        <v>4640</v>
      </c>
      <c r="H216" s="53">
        <v>1846</v>
      </c>
      <c r="I216" s="53">
        <v>2794</v>
      </c>
      <c r="J216" s="53">
        <v>31140</v>
      </c>
      <c r="K216" s="53">
        <v>74</v>
      </c>
      <c r="L216" s="53">
        <v>15</v>
      </c>
      <c r="M216" s="53">
        <v>13</v>
      </c>
      <c r="N216" s="53">
        <v>3870</v>
      </c>
      <c r="O216" s="53">
        <v>101124.76256756038</v>
      </c>
      <c r="P216" s="53">
        <v>2179</v>
      </c>
      <c r="Q216" s="53">
        <v>4697</v>
      </c>
      <c r="R216" s="53">
        <v>1134</v>
      </c>
      <c r="S216" s="53">
        <v>1905</v>
      </c>
      <c r="T216" s="53">
        <v>1127</v>
      </c>
      <c r="U216" s="53">
        <v>1832</v>
      </c>
      <c r="V216" s="53">
        <v>1929</v>
      </c>
      <c r="W216" s="53">
        <v>1036</v>
      </c>
      <c r="X216" s="53">
        <v>1076</v>
      </c>
      <c r="Y216" s="53">
        <v>978</v>
      </c>
      <c r="Z216" s="53">
        <v>4640</v>
      </c>
      <c r="AA216" s="53">
        <v>70347282.655000001</v>
      </c>
      <c r="AB216" s="53">
        <v>238</v>
      </c>
      <c r="AC216" s="53">
        <v>4169</v>
      </c>
      <c r="AD216" s="53">
        <v>6</v>
      </c>
      <c r="AE216" s="53">
        <v>0</v>
      </c>
      <c r="AF216" s="53">
        <v>532</v>
      </c>
      <c r="AG216" s="53">
        <v>117</v>
      </c>
      <c r="AH216" s="53">
        <v>136</v>
      </c>
      <c r="AI216" s="54">
        <v>2994</v>
      </c>
      <c r="AJ216" s="53">
        <v>612</v>
      </c>
      <c r="AK216" s="53">
        <v>5</v>
      </c>
      <c r="AL216" s="53">
        <v>4640</v>
      </c>
      <c r="AM216" s="53">
        <v>1873</v>
      </c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</row>
    <row r="217" spans="1:56" hidden="1" x14ac:dyDescent="0.25">
      <c r="A217" s="51" t="s">
        <v>49</v>
      </c>
      <c r="B217" s="52">
        <v>18</v>
      </c>
      <c r="C217" s="51" t="s">
        <v>70</v>
      </c>
      <c r="D217" s="51" t="s">
        <v>16</v>
      </c>
      <c r="E217" s="51" t="s">
        <v>92</v>
      </c>
      <c r="F217" s="51">
        <v>2018</v>
      </c>
      <c r="G217" s="53">
        <v>2794</v>
      </c>
      <c r="H217" s="53">
        <v>1114</v>
      </c>
      <c r="I217" s="53">
        <v>1680</v>
      </c>
      <c r="J217" s="53">
        <v>18794</v>
      </c>
      <c r="K217" s="53">
        <v>59</v>
      </c>
      <c r="L217" s="53">
        <v>10</v>
      </c>
      <c r="M217" s="53">
        <v>14</v>
      </c>
      <c r="N217" s="53">
        <v>2431</v>
      </c>
      <c r="O217" s="53">
        <v>67820.162576919043</v>
      </c>
      <c r="P217" s="53">
        <v>1332</v>
      </c>
      <c r="Q217" s="53">
        <v>3065</v>
      </c>
      <c r="R217" s="53">
        <v>698</v>
      </c>
      <c r="S217" s="53">
        <v>1279</v>
      </c>
      <c r="T217" s="53">
        <v>699</v>
      </c>
      <c r="U217" s="53">
        <v>1236</v>
      </c>
      <c r="V217" s="53">
        <v>1264</v>
      </c>
      <c r="W217" s="53">
        <v>630</v>
      </c>
      <c r="X217" s="53">
        <v>588</v>
      </c>
      <c r="Y217" s="53">
        <v>421</v>
      </c>
      <c r="Z217" s="53">
        <v>2794</v>
      </c>
      <c r="AA217" s="53">
        <v>52976716.07</v>
      </c>
      <c r="AB217" s="53">
        <v>124</v>
      </c>
      <c r="AC217" s="53">
        <v>2799</v>
      </c>
      <c r="AD217" s="53">
        <v>316</v>
      </c>
      <c r="AE217" s="53">
        <v>201</v>
      </c>
      <c r="AF217" s="53">
        <v>361</v>
      </c>
      <c r="AG217" s="53">
        <v>62</v>
      </c>
      <c r="AH217" s="53">
        <v>131</v>
      </c>
      <c r="AI217" s="54">
        <v>2109</v>
      </c>
      <c r="AJ217" s="53">
        <v>111</v>
      </c>
      <c r="AK217" s="53">
        <v>2</v>
      </c>
      <c r="AL217" s="53">
        <v>1766.9256</v>
      </c>
      <c r="AM217" s="53">
        <v>2</v>
      </c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</row>
    <row r="218" spans="1:56" hidden="1" x14ac:dyDescent="0.25">
      <c r="A218" s="51" t="s">
        <v>49</v>
      </c>
      <c r="B218" s="52">
        <v>19</v>
      </c>
      <c r="C218" s="51" t="s">
        <v>71</v>
      </c>
      <c r="D218" s="51" t="s">
        <v>17</v>
      </c>
      <c r="E218" s="51" t="s">
        <v>92</v>
      </c>
      <c r="F218" s="51">
        <v>2018</v>
      </c>
      <c r="G218" s="53">
        <v>21326</v>
      </c>
      <c r="H218" s="53">
        <v>7840</v>
      </c>
      <c r="I218" s="53">
        <v>13486</v>
      </c>
      <c r="J218" s="53">
        <v>94982</v>
      </c>
      <c r="K218" s="53">
        <v>295</v>
      </c>
      <c r="L218" s="53">
        <v>66</v>
      </c>
      <c r="M218" s="53">
        <v>78</v>
      </c>
      <c r="N218" s="53">
        <v>17243</v>
      </c>
      <c r="O218" s="53">
        <v>266980.64734868531</v>
      </c>
      <c r="P218" s="53">
        <v>9033</v>
      </c>
      <c r="Q218" s="53">
        <v>21351</v>
      </c>
      <c r="R218" s="53">
        <v>4726</v>
      </c>
      <c r="S218" s="53">
        <v>6933</v>
      </c>
      <c r="T218" s="53">
        <v>4003</v>
      </c>
      <c r="U218" s="53">
        <v>7514</v>
      </c>
      <c r="V218" s="53">
        <v>8223</v>
      </c>
      <c r="W218" s="53">
        <v>4378</v>
      </c>
      <c r="X218" s="53">
        <v>3658</v>
      </c>
      <c r="Y218" s="53">
        <v>3518</v>
      </c>
      <c r="Z218" s="53">
        <v>21326</v>
      </c>
      <c r="AA218" s="53">
        <v>243463751.80000001</v>
      </c>
      <c r="AB218" s="53">
        <v>1084</v>
      </c>
      <c r="AC218" s="53">
        <v>18284</v>
      </c>
      <c r="AD218" s="53">
        <v>660</v>
      </c>
      <c r="AE218" s="53">
        <v>627</v>
      </c>
      <c r="AF218" s="53">
        <v>1549</v>
      </c>
      <c r="AG218" s="53">
        <v>377</v>
      </c>
      <c r="AH218" s="53">
        <v>355</v>
      </c>
      <c r="AI218" s="54">
        <v>27119</v>
      </c>
      <c r="AJ218" s="53">
        <v>2664</v>
      </c>
      <c r="AK218" s="53">
        <v>11</v>
      </c>
      <c r="AL218" s="53">
        <v>14279.8896</v>
      </c>
      <c r="AM218" s="53">
        <v>58432</v>
      </c>
      <c r="AN218" s="53">
        <v>426</v>
      </c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</row>
    <row r="219" spans="1:56" hidden="1" x14ac:dyDescent="0.25">
      <c r="A219" s="51" t="s">
        <v>50</v>
      </c>
      <c r="B219" s="52">
        <v>20</v>
      </c>
      <c r="C219" s="51" t="s">
        <v>85</v>
      </c>
      <c r="D219" s="51" t="s">
        <v>28</v>
      </c>
      <c r="E219" s="51" t="s">
        <v>92</v>
      </c>
      <c r="F219" s="51">
        <v>2018</v>
      </c>
      <c r="G219" s="53">
        <v>6115</v>
      </c>
      <c r="H219" s="53">
        <v>2220</v>
      </c>
      <c r="I219" s="53">
        <v>3895</v>
      </c>
      <c r="J219" s="53">
        <v>65886</v>
      </c>
      <c r="K219" s="53">
        <v>119</v>
      </c>
      <c r="L219" s="53">
        <v>25</v>
      </c>
      <c r="M219" s="53">
        <v>29</v>
      </c>
      <c r="N219" s="53">
        <v>5054</v>
      </c>
      <c r="O219" s="53">
        <v>234207.61868783121</v>
      </c>
      <c r="P219" s="53">
        <v>2753</v>
      </c>
      <c r="Q219" s="53">
        <v>6380</v>
      </c>
      <c r="R219" s="53">
        <v>1573</v>
      </c>
      <c r="S219" s="53">
        <v>2496</v>
      </c>
      <c r="T219" s="53">
        <v>1390</v>
      </c>
      <c r="U219" s="53">
        <v>2396</v>
      </c>
      <c r="V219" s="53">
        <v>2568</v>
      </c>
      <c r="W219" s="53">
        <v>1373</v>
      </c>
      <c r="X219" s="53">
        <v>1128</v>
      </c>
      <c r="Y219" s="53">
        <v>789</v>
      </c>
      <c r="Z219" s="53">
        <v>6115</v>
      </c>
      <c r="AA219" s="53">
        <v>198204901.90000001</v>
      </c>
      <c r="AB219" s="53">
        <v>400</v>
      </c>
      <c r="AC219" s="53">
        <v>5850</v>
      </c>
      <c r="AD219" s="53">
        <v>709</v>
      </c>
      <c r="AE219" s="53">
        <v>518</v>
      </c>
      <c r="AF219" s="53">
        <v>637</v>
      </c>
      <c r="AG219" s="53">
        <v>154</v>
      </c>
      <c r="AH219" s="53">
        <v>196</v>
      </c>
      <c r="AI219" s="54">
        <v>3586</v>
      </c>
      <c r="AJ219" s="53">
        <v>20</v>
      </c>
      <c r="AK219" s="53">
        <v>4</v>
      </c>
      <c r="AL219" s="53">
        <v>3942.9520000000002</v>
      </c>
      <c r="AM219" s="53">
        <v>549</v>
      </c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</row>
    <row r="220" spans="1:56" hidden="1" x14ac:dyDescent="0.25">
      <c r="A220" s="51" t="s">
        <v>49</v>
      </c>
      <c r="B220" s="52">
        <v>21</v>
      </c>
      <c r="C220" s="51" t="s">
        <v>72</v>
      </c>
      <c r="D220" s="51" t="s">
        <v>18</v>
      </c>
      <c r="E220" s="51" t="s">
        <v>92</v>
      </c>
      <c r="F220" s="51">
        <v>2018</v>
      </c>
      <c r="G220" s="53">
        <v>7310</v>
      </c>
      <c r="H220" s="53">
        <v>2756</v>
      </c>
      <c r="I220" s="53">
        <v>4554</v>
      </c>
      <c r="J220" s="53">
        <v>120674</v>
      </c>
      <c r="K220" s="53">
        <v>151</v>
      </c>
      <c r="L220" s="53">
        <v>36</v>
      </c>
      <c r="M220" s="53">
        <v>40</v>
      </c>
      <c r="N220" s="53">
        <v>6135</v>
      </c>
      <c r="O220" s="53">
        <v>362648.64012946235</v>
      </c>
      <c r="P220" s="53">
        <v>3917</v>
      </c>
      <c r="Q220" s="53">
        <v>7439</v>
      </c>
      <c r="R220" s="53">
        <v>1955</v>
      </c>
      <c r="S220" s="53">
        <v>2175</v>
      </c>
      <c r="T220" s="53">
        <v>1840</v>
      </c>
      <c r="U220" s="53">
        <v>2813</v>
      </c>
      <c r="V220" s="53">
        <v>2822</v>
      </c>
      <c r="W220" s="53">
        <v>1769</v>
      </c>
      <c r="X220" s="53">
        <v>1669</v>
      </c>
      <c r="Y220" s="53">
        <v>1497</v>
      </c>
      <c r="Z220" s="53">
        <v>7310</v>
      </c>
      <c r="AA220" s="53">
        <v>151077190.185</v>
      </c>
      <c r="AB220" s="53">
        <v>397</v>
      </c>
      <c r="AC220" s="53">
        <v>6881</v>
      </c>
      <c r="AD220" s="53">
        <v>404</v>
      </c>
      <c r="AE220" s="53">
        <v>311</v>
      </c>
      <c r="AF220" s="53">
        <v>1005</v>
      </c>
      <c r="AG220" s="53">
        <v>230</v>
      </c>
      <c r="AH220" s="53">
        <v>262</v>
      </c>
      <c r="AI220" s="54">
        <v>3898</v>
      </c>
      <c r="AJ220" s="53">
        <v>151</v>
      </c>
      <c r="AK220" s="53">
        <v>10</v>
      </c>
      <c r="AL220" s="53">
        <v>7310</v>
      </c>
      <c r="AM220" s="53">
        <v>3346</v>
      </c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</row>
    <row r="221" spans="1:56" hidden="1" x14ac:dyDescent="0.25">
      <c r="A221" s="51" t="s">
        <v>49</v>
      </c>
      <c r="B221" s="52">
        <v>22</v>
      </c>
      <c r="C221" s="51" t="s">
        <v>73</v>
      </c>
      <c r="D221" s="51" t="s">
        <v>29</v>
      </c>
      <c r="E221" s="51" t="s">
        <v>92</v>
      </c>
      <c r="F221" s="51">
        <v>2018</v>
      </c>
      <c r="G221" s="53">
        <v>3473</v>
      </c>
      <c r="H221" s="53">
        <v>1380</v>
      </c>
      <c r="I221" s="53">
        <v>2093</v>
      </c>
      <c r="J221" s="53">
        <v>34202</v>
      </c>
      <c r="K221" s="53">
        <v>67</v>
      </c>
      <c r="L221" s="53">
        <v>24</v>
      </c>
      <c r="M221" s="53">
        <v>28</v>
      </c>
      <c r="N221" s="53">
        <v>2993</v>
      </c>
      <c r="O221" s="53">
        <v>112953.81869980853</v>
      </c>
      <c r="P221" s="53">
        <v>1968</v>
      </c>
      <c r="Q221" s="53">
        <v>3418</v>
      </c>
      <c r="R221" s="53">
        <v>829</v>
      </c>
      <c r="S221" s="53">
        <v>2028</v>
      </c>
      <c r="T221" s="53">
        <v>832</v>
      </c>
      <c r="U221" s="53">
        <v>1347</v>
      </c>
      <c r="V221" s="53">
        <v>1374</v>
      </c>
      <c r="W221" s="53">
        <v>745</v>
      </c>
      <c r="X221" s="53">
        <v>811</v>
      </c>
      <c r="Y221" s="53">
        <v>778</v>
      </c>
      <c r="Z221" s="53">
        <v>3473</v>
      </c>
      <c r="AA221" s="53">
        <v>53835720.295000002</v>
      </c>
      <c r="AB221" s="53">
        <v>241</v>
      </c>
      <c r="AC221" s="53">
        <v>3142</v>
      </c>
      <c r="AD221" s="53">
        <v>254</v>
      </c>
      <c r="AE221" s="53">
        <v>140</v>
      </c>
      <c r="AF221" s="53">
        <v>449</v>
      </c>
      <c r="AG221" s="53">
        <v>82</v>
      </c>
      <c r="AH221" s="53">
        <v>107</v>
      </c>
      <c r="AI221" s="54">
        <v>1223</v>
      </c>
      <c r="AJ221" s="53">
        <v>80</v>
      </c>
      <c r="AK221" s="53">
        <v>3</v>
      </c>
      <c r="AL221" s="53">
        <v>2814.1718999999998</v>
      </c>
      <c r="AM221" s="53">
        <v>2</v>
      </c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</row>
    <row r="222" spans="1:56" hidden="1" x14ac:dyDescent="0.25">
      <c r="A222" s="51" t="s">
        <v>49</v>
      </c>
      <c r="B222" s="52">
        <v>23</v>
      </c>
      <c r="C222" s="51" t="s">
        <v>74</v>
      </c>
      <c r="D222" s="51" t="s">
        <v>19</v>
      </c>
      <c r="E222" s="51" t="s">
        <v>92</v>
      </c>
      <c r="F222" s="51">
        <v>2018</v>
      </c>
      <c r="G222" s="53">
        <v>8590</v>
      </c>
      <c r="H222" s="53">
        <v>3139</v>
      </c>
      <c r="I222" s="53">
        <v>5451</v>
      </c>
      <c r="J222" s="53">
        <v>26046</v>
      </c>
      <c r="K222" s="53">
        <v>109</v>
      </c>
      <c r="L222" s="53">
        <v>15</v>
      </c>
      <c r="M222" s="53">
        <v>29</v>
      </c>
      <c r="N222" s="53">
        <v>6895</v>
      </c>
      <c r="O222" s="53">
        <v>85062.009804503905</v>
      </c>
      <c r="P222" s="53">
        <v>3612</v>
      </c>
      <c r="Q222" s="53">
        <v>8622</v>
      </c>
      <c r="R222" s="53">
        <v>1955</v>
      </c>
      <c r="S222" s="53">
        <v>2495</v>
      </c>
      <c r="T222" s="53">
        <v>2012</v>
      </c>
      <c r="U222" s="53">
        <v>3422</v>
      </c>
      <c r="V222" s="53">
        <v>3286</v>
      </c>
      <c r="W222" s="53">
        <v>1786</v>
      </c>
      <c r="X222" s="53">
        <v>1512</v>
      </c>
      <c r="Y222" s="53">
        <v>1353</v>
      </c>
      <c r="Z222" s="53">
        <v>8590</v>
      </c>
      <c r="AA222" s="53">
        <v>100698271.145</v>
      </c>
      <c r="AB222" s="53">
        <v>425</v>
      </c>
      <c r="AC222" s="53">
        <v>7546</v>
      </c>
      <c r="AD222" s="53">
        <v>277</v>
      </c>
      <c r="AE222" s="53">
        <v>258</v>
      </c>
      <c r="AF222" s="53">
        <v>771</v>
      </c>
      <c r="AG222" s="53">
        <v>209</v>
      </c>
      <c r="AH222" s="53">
        <v>259</v>
      </c>
      <c r="AI222" s="54">
        <v>2332</v>
      </c>
      <c r="AJ222" s="53">
        <v>11</v>
      </c>
      <c r="AK222" s="53">
        <v>7</v>
      </c>
      <c r="AL222" s="53">
        <v>8590</v>
      </c>
      <c r="AM222" s="53">
        <v>148</v>
      </c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</row>
    <row r="223" spans="1:56" hidden="1" x14ac:dyDescent="0.25">
      <c r="A223" s="51" t="s">
        <v>49</v>
      </c>
      <c r="B223" s="52">
        <v>24</v>
      </c>
      <c r="C223" s="51" t="s">
        <v>75</v>
      </c>
      <c r="D223" s="51" t="s">
        <v>20</v>
      </c>
      <c r="E223" s="51" t="s">
        <v>92</v>
      </c>
      <c r="F223" s="51">
        <v>2018</v>
      </c>
      <c r="G223" s="53">
        <v>5259</v>
      </c>
      <c r="H223" s="53">
        <v>1930</v>
      </c>
      <c r="I223" s="53">
        <v>3329</v>
      </c>
      <c r="J223" s="53">
        <v>57201</v>
      </c>
      <c r="K223" s="53">
        <v>99</v>
      </c>
      <c r="L223" s="53">
        <v>24</v>
      </c>
      <c r="M223" s="53">
        <v>24</v>
      </c>
      <c r="N223" s="53">
        <v>4224</v>
      </c>
      <c r="O223" s="53">
        <v>158793.48904400849</v>
      </c>
      <c r="P223" s="53">
        <v>2424</v>
      </c>
      <c r="Q223" s="53">
        <v>5729</v>
      </c>
      <c r="R223" s="53">
        <v>1320</v>
      </c>
      <c r="S223" s="53">
        <v>2373</v>
      </c>
      <c r="T223" s="53">
        <v>1104</v>
      </c>
      <c r="U223" s="53">
        <v>2113</v>
      </c>
      <c r="V223" s="53">
        <v>2258</v>
      </c>
      <c r="W223" s="53">
        <v>1163</v>
      </c>
      <c r="X223" s="53">
        <v>989</v>
      </c>
      <c r="Y223" s="53">
        <v>912</v>
      </c>
      <c r="Z223" s="53">
        <v>5259</v>
      </c>
      <c r="AA223" s="53">
        <v>88231432.405000001</v>
      </c>
      <c r="AB223" s="53">
        <v>246</v>
      </c>
      <c r="AC223" s="53">
        <v>4835</v>
      </c>
      <c r="AD223" s="53">
        <v>323</v>
      </c>
      <c r="AE223" s="53">
        <v>242</v>
      </c>
      <c r="AF223" s="53">
        <v>427</v>
      </c>
      <c r="AG223" s="53">
        <v>150</v>
      </c>
      <c r="AH223" s="53">
        <v>145</v>
      </c>
      <c r="AI223" s="54">
        <v>3301</v>
      </c>
      <c r="AJ223" s="53">
        <v>87</v>
      </c>
      <c r="AK223" s="53">
        <v>5</v>
      </c>
      <c r="AL223" s="53">
        <v>5259</v>
      </c>
      <c r="AM223" s="53">
        <v>556</v>
      </c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</row>
    <row r="224" spans="1:56" hidden="1" x14ac:dyDescent="0.25">
      <c r="A224" s="51" t="s">
        <v>49</v>
      </c>
      <c r="B224" s="52">
        <v>25</v>
      </c>
      <c r="C224" s="51" t="s">
        <v>76</v>
      </c>
      <c r="D224" s="51" t="s">
        <v>21</v>
      </c>
      <c r="E224" s="51" t="s">
        <v>92</v>
      </c>
      <c r="F224" s="51">
        <v>2018</v>
      </c>
      <c r="G224" s="53">
        <v>8604</v>
      </c>
      <c r="H224" s="53">
        <v>3373</v>
      </c>
      <c r="I224" s="53">
        <v>5231</v>
      </c>
      <c r="J224" s="53">
        <v>52946</v>
      </c>
      <c r="K224" s="53">
        <v>234</v>
      </c>
      <c r="L224" s="53">
        <v>72</v>
      </c>
      <c r="M224" s="53">
        <v>42</v>
      </c>
      <c r="N224" s="53">
        <v>7544</v>
      </c>
      <c r="O224" s="53">
        <v>162640.48544064179</v>
      </c>
      <c r="P224" s="53">
        <v>3775</v>
      </c>
      <c r="Q224" s="53">
        <v>8577</v>
      </c>
      <c r="R224" s="53">
        <v>2101</v>
      </c>
      <c r="S224" s="53">
        <v>3568</v>
      </c>
      <c r="T224" s="53">
        <v>2490</v>
      </c>
      <c r="U224" s="53">
        <v>3734</v>
      </c>
      <c r="V224" s="53">
        <v>3326</v>
      </c>
      <c r="W224" s="53">
        <v>1964</v>
      </c>
      <c r="X224" s="53">
        <v>1739</v>
      </c>
      <c r="Y224" s="53">
        <v>1696</v>
      </c>
      <c r="Z224" s="53">
        <v>8604</v>
      </c>
      <c r="AA224" s="53">
        <v>247272786.785</v>
      </c>
      <c r="AB224" s="53">
        <v>529</v>
      </c>
      <c r="AC224" s="53">
        <v>7204</v>
      </c>
      <c r="AD224" s="53">
        <v>367</v>
      </c>
      <c r="AE224" s="53">
        <v>235</v>
      </c>
      <c r="AF224" s="53">
        <v>1117</v>
      </c>
      <c r="AG224" s="53">
        <v>310</v>
      </c>
      <c r="AH224" s="53">
        <v>470</v>
      </c>
      <c r="AI224" s="54">
        <v>487</v>
      </c>
      <c r="AJ224" s="53">
        <v>124</v>
      </c>
      <c r="AK224" s="53">
        <v>15</v>
      </c>
      <c r="AL224" s="53">
        <v>8431.92</v>
      </c>
      <c r="AM224" s="53">
        <v>14</v>
      </c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</row>
    <row r="225" spans="1:56" hidden="1" x14ac:dyDescent="0.25">
      <c r="A225" s="51" t="s">
        <v>49</v>
      </c>
      <c r="B225" s="52">
        <v>26</v>
      </c>
      <c r="C225" s="51" t="s">
        <v>77</v>
      </c>
      <c r="D225" s="51" t="s">
        <v>22</v>
      </c>
      <c r="E225" s="51" t="s">
        <v>92</v>
      </c>
      <c r="F225" s="51">
        <v>2018</v>
      </c>
      <c r="G225" s="53">
        <v>14826</v>
      </c>
      <c r="H225" s="53">
        <v>5940</v>
      </c>
      <c r="I225" s="53">
        <v>8886</v>
      </c>
      <c r="J225" s="53">
        <v>47160</v>
      </c>
      <c r="K225" s="53">
        <v>269</v>
      </c>
      <c r="L225" s="53">
        <v>47</v>
      </c>
      <c r="M225" s="53">
        <v>51</v>
      </c>
      <c r="N225" s="53">
        <v>12472</v>
      </c>
      <c r="O225" s="53">
        <v>160641.37028213684</v>
      </c>
      <c r="P225" s="53">
        <v>6161</v>
      </c>
      <c r="Q225" s="53">
        <v>15277</v>
      </c>
      <c r="R225" s="53">
        <v>2926</v>
      </c>
      <c r="S225" s="53">
        <v>4416</v>
      </c>
      <c r="T225" s="53">
        <v>2631</v>
      </c>
      <c r="U225" s="53">
        <v>5501</v>
      </c>
      <c r="V225" s="53">
        <v>6199</v>
      </c>
      <c r="W225" s="53">
        <v>2606</v>
      </c>
      <c r="X225" s="53">
        <v>2463</v>
      </c>
      <c r="Y225" s="53">
        <v>1715</v>
      </c>
      <c r="Z225" s="53">
        <v>14826</v>
      </c>
      <c r="AA225" s="53">
        <v>226945796.19499999</v>
      </c>
      <c r="AB225" s="53">
        <v>662</v>
      </c>
      <c r="AC225" s="53">
        <v>14152</v>
      </c>
      <c r="AD225" s="53">
        <v>487</v>
      </c>
      <c r="AE225" s="53">
        <v>261</v>
      </c>
      <c r="AF225" s="53">
        <v>857</v>
      </c>
      <c r="AG225" s="53">
        <v>277</v>
      </c>
      <c r="AH225" s="53">
        <v>405</v>
      </c>
      <c r="AI225" s="54">
        <v>5794</v>
      </c>
      <c r="AJ225" s="53">
        <v>494</v>
      </c>
      <c r="AK225" s="53">
        <v>11</v>
      </c>
      <c r="AL225" s="53">
        <v>10691.028600000001</v>
      </c>
      <c r="AM225" s="53">
        <v>0</v>
      </c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</row>
    <row r="226" spans="1:56" hidden="1" x14ac:dyDescent="0.25">
      <c r="A226" s="51" t="s">
        <v>49</v>
      </c>
      <c r="B226" s="52">
        <v>27</v>
      </c>
      <c r="C226" s="51" t="s">
        <v>78</v>
      </c>
      <c r="D226" s="51" t="s">
        <v>23</v>
      </c>
      <c r="E226" s="51" t="s">
        <v>92</v>
      </c>
      <c r="F226" s="51">
        <v>2018</v>
      </c>
      <c r="G226" s="53">
        <v>5608</v>
      </c>
      <c r="H226" s="53">
        <v>2062</v>
      </c>
      <c r="I226" s="53">
        <v>3546</v>
      </c>
      <c r="J226" s="53">
        <v>41273</v>
      </c>
      <c r="K226" s="53">
        <v>88</v>
      </c>
      <c r="L226" s="53">
        <v>21</v>
      </c>
      <c r="M226" s="53">
        <v>22</v>
      </c>
      <c r="N226" s="53">
        <v>4932</v>
      </c>
      <c r="O226" s="53">
        <v>133002.08940500516</v>
      </c>
      <c r="P226" s="53">
        <v>2062</v>
      </c>
      <c r="Q226" s="53">
        <v>5685</v>
      </c>
      <c r="R226" s="53">
        <v>1527</v>
      </c>
      <c r="S226" s="53">
        <v>2021</v>
      </c>
      <c r="T226" s="53">
        <v>1434</v>
      </c>
      <c r="U226" s="53">
        <v>2164</v>
      </c>
      <c r="V226" s="53">
        <v>2280</v>
      </c>
      <c r="W226" s="53">
        <v>1398</v>
      </c>
      <c r="X226" s="53">
        <v>1303</v>
      </c>
      <c r="Y226" s="53">
        <v>1195</v>
      </c>
      <c r="Z226" s="53">
        <v>5608</v>
      </c>
      <c r="AA226" s="53">
        <v>112835125.86</v>
      </c>
      <c r="AB226" s="53">
        <v>294</v>
      </c>
      <c r="AC226" s="53">
        <v>5174</v>
      </c>
      <c r="AD226" s="53">
        <v>264</v>
      </c>
      <c r="AE226" s="53">
        <v>171</v>
      </c>
      <c r="AF226" s="53">
        <v>484</v>
      </c>
      <c r="AG226" s="53">
        <v>103</v>
      </c>
      <c r="AH226" s="53">
        <v>187</v>
      </c>
      <c r="AI226" s="54">
        <v>430</v>
      </c>
      <c r="AJ226" s="53">
        <v>27</v>
      </c>
      <c r="AK226" s="53">
        <v>5</v>
      </c>
      <c r="AL226" s="53">
        <v>3682.7736</v>
      </c>
      <c r="AM226" s="53">
        <v>71</v>
      </c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</row>
    <row r="227" spans="1:56" hidden="1" x14ac:dyDescent="0.25">
      <c r="A227" s="51" t="s">
        <v>49</v>
      </c>
      <c r="B227" s="52">
        <v>28</v>
      </c>
      <c r="C227" s="51" t="s">
        <v>79</v>
      </c>
      <c r="D227" s="51" t="s">
        <v>24</v>
      </c>
      <c r="E227" s="51" t="s">
        <v>92</v>
      </c>
      <c r="F227" s="51">
        <v>2018</v>
      </c>
      <c r="G227" s="53">
        <v>8533</v>
      </c>
      <c r="H227" s="53">
        <v>3183</v>
      </c>
      <c r="I227" s="53">
        <v>5350</v>
      </c>
      <c r="J227" s="53">
        <v>51248</v>
      </c>
      <c r="K227" s="53">
        <v>157</v>
      </c>
      <c r="L227" s="53">
        <v>30</v>
      </c>
      <c r="M227" s="53">
        <v>37</v>
      </c>
      <c r="N227" s="53">
        <v>7449</v>
      </c>
      <c r="O227" s="53">
        <v>187732.87996738573</v>
      </c>
      <c r="P227" s="53">
        <v>3548</v>
      </c>
      <c r="Q227" s="53">
        <v>8707</v>
      </c>
      <c r="R227" s="53">
        <v>2052</v>
      </c>
      <c r="S227" s="53">
        <v>3206</v>
      </c>
      <c r="T227" s="53">
        <v>2028</v>
      </c>
      <c r="U227" s="53">
        <v>3644</v>
      </c>
      <c r="V227" s="53">
        <v>3517</v>
      </c>
      <c r="W227" s="53">
        <v>1856</v>
      </c>
      <c r="X227" s="53">
        <v>1898</v>
      </c>
      <c r="Y227" s="53">
        <v>1630</v>
      </c>
      <c r="Z227" s="53">
        <v>8533</v>
      </c>
      <c r="AA227" s="53">
        <v>175108866.91499999</v>
      </c>
      <c r="AB227" s="53">
        <v>388</v>
      </c>
      <c r="AC227" s="53">
        <v>8312</v>
      </c>
      <c r="AD227" s="53">
        <v>314</v>
      </c>
      <c r="AE227" s="53">
        <v>247</v>
      </c>
      <c r="AF227" s="53">
        <v>1077</v>
      </c>
      <c r="AG227" s="53">
        <v>189</v>
      </c>
      <c r="AH227" s="53">
        <v>291</v>
      </c>
      <c r="AI227" s="54">
        <v>10400</v>
      </c>
      <c r="AJ227" s="53">
        <v>171</v>
      </c>
      <c r="AK227" s="53">
        <v>8</v>
      </c>
      <c r="AL227" s="53">
        <v>8533</v>
      </c>
      <c r="AM227" s="53">
        <v>131</v>
      </c>
      <c r="AN227" s="53">
        <v>104</v>
      </c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</row>
    <row r="228" spans="1:56" hidden="1" x14ac:dyDescent="0.25">
      <c r="A228" s="51" t="s">
        <v>49</v>
      </c>
      <c r="B228" s="52">
        <v>29</v>
      </c>
      <c r="C228" s="51" t="s">
        <v>80</v>
      </c>
      <c r="D228" s="51" t="s">
        <v>25</v>
      </c>
      <c r="E228" s="51" t="s">
        <v>92</v>
      </c>
      <c r="F228" s="51">
        <v>2018</v>
      </c>
      <c r="G228" s="53">
        <v>3232</v>
      </c>
      <c r="H228" s="53">
        <v>1170</v>
      </c>
      <c r="I228" s="53">
        <v>2062</v>
      </c>
      <c r="J228" s="53">
        <v>23003</v>
      </c>
      <c r="K228" s="53">
        <v>49</v>
      </c>
      <c r="L228" s="53">
        <v>18</v>
      </c>
      <c r="M228" s="53">
        <v>15</v>
      </c>
      <c r="N228" s="53">
        <v>2871</v>
      </c>
      <c r="O228" s="53">
        <v>74315.320716950271</v>
      </c>
      <c r="P228" s="53">
        <v>1389</v>
      </c>
      <c r="Q228" s="53">
        <v>3243</v>
      </c>
      <c r="R228" s="53">
        <v>709</v>
      </c>
      <c r="S228" s="53">
        <v>1198</v>
      </c>
      <c r="T228" s="53">
        <v>713</v>
      </c>
      <c r="U228" s="53">
        <v>1269</v>
      </c>
      <c r="V228" s="53">
        <v>1143</v>
      </c>
      <c r="W228" s="53">
        <v>594</v>
      </c>
      <c r="X228" s="53">
        <v>562</v>
      </c>
      <c r="Y228" s="53">
        <v>546</v>
      </c>
      <c r="Z228" s="53">
        <v>3232</v>
      </c>
      <c r="AA228" s="53">
        <v>42775667.829999998</v>
      </c>
      <c r="AB228" s="53">
        <v>182</v>
      </c>
      <c r="AC228" s="53">
        <v>2763</v>
      </c>
      <c r="AD228" s="53">
        <v>398</v>
      </c>
      <c r="AE228" s="53">
        <v>215</v>
      </c>
      <c r="AF228" s="53">
        <v>455</v>
      </c>
      <c r="AG228" s="53">
        <v>75</v>
      </c>
      <c r="AH228" s="53">
        <v>73</v>
      </c>
      <c r="AI228" s="54">
        <v>2082</v>
      </c>
      <c r="AJ228" s="53">
        <v>119</v>
      </c>
      <c r="AK228" s="53">
        <v>3</v>
      </c>
      <c r="AL228" s="53">
        <v>3232</v>
      </c>
      <c r="AM228" s="53">
        <v>23</v>
      </c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</row>
    <row r="229" spans="1:56" hidden="1" x14ac:dyDescent="0.25">
      <c r="A229" s="51" t="s">
        <v>49</v>
      </c>
      <c r="B229" s="52">
        <v>30</v>
      </c>
      <c r="C229" s="51" t="s">
        <v>81</v>
      </c>
      <c r="D229" s="51" t="s">
        <v>53</v>
      </c>
      <c r="E229" s="51" t="s">
        <v>92</v>
      </c>
      <c r="F229" s="51">
        <v>2018</v>
      </c>
      <c r="G229" s="53">
        <v>8858</v>
      </c>
      <c r="H229" s="53">
        <v>3279</v>
      </c>
      <c r="I229" s="53">
        <v>5579</v>
      </c>
      <c r="J229" s="53">
        <v>131256</v>
      </c>
      <c r="K229" s="53">
        <v>174</v>
      </c>
      <c r="L229" s="53">
        <v>42</v>
      </c>
      <c r="M229" s="53">
        <v>77</v>
      </c>
      <c r="N229" s="53">
        <v>7747</v>
      </c>
      <c r="O229" s="53">
        <v>432896.89882477239</v>
      </c>
      <c r="P229" s="53">
        <v>4334</v>
      </c>
      <c r="Q229" s="53">
        <v>9115</v>
      </c>
      <c r="R229" s="53">
        <v>2633</v>
      </c>
      <c r="S229" s="53">
        <v>3100</v>
      </c>
      <c r="T229" s="53">
        <v>2326</v>
      </c>
      <c r="U229" s="53">
        <v>3472</v>
      </c>
      <c r="V229" s="53">
        <v>3736</v>
      </c>
      <c r="W229" s="53">
        <v>2472</v>
      </c>
      <c r="X229" s="53">
        <v>2218</v>
      </c>
      <c r="Y229" s="53">
        <v>1979</v>
      </c>
      <c r="Z229" s="53">
        <v>8858</v>
      </c>
      <c r="AA229" s="53">
        <v>234497481.155</v>
      </c>
      <c r="AB229" s="53">
        <v>531</v>
      </c>
      <c r="AC229" s="53">
        <v>8940</v>
      </c>
      <c r="AD229" s="53">
        <v>419</v>
      </c>
      <c r="AE229" s="53">
        <v>357</v>
      </c>
      <c r="AF229" s="53">
        <v>1543</v>
      </c>
      <c r="AG229" s="53">
        <v>318</v>
      </c>
      <c r="AH229" s="53">
        <v>397</v>
      </c>
      <c r="AI229" s="54">
        <v>7078</v>
      </c>
      <c r="AJ229" s="53">
        <v>132</v>
      </c>
      <c r="AK229" s="53">
        <v>12</v>
      </c>
      <c r="AL229" s="53">
        <v>8779.1638000000003</v>
      </c>
      <c r="AM229" s="53">
        <v>768</v>
      </c>
      <c r="AN229" s="53">
        <v>720</v>
      </c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</row>
    <row r="230" spans="1:56" hidden="1" x14ac:dyDescent="0.25">
      <c r="A230" s="51" t="s">
        <v>49</v>
      </c>
      <c r="B230" s="52">
        <v>31</v>
      </c>
      <c r="C230" s="51" t="s">
        <v>82</v>
      </c>
      <c r="D230" s="51" t="s">
        <v>26</v>
      </c>
      <c r="E230" s="51" t="s">
        <v>92</v>
      </c>
      <c r="F230" s="51">
        <v>2018</v>
      </c>
      <c r="G230" s="53">
        <v>5303</v>
      </c>
      <c r="H230" s="53">
        <v>1915</v>
      </c>
      <c r="I230" s="53">
        <v>3388</v>
      </c>
      <c r="J230" s="53">
        <v>35849</v>
      </c>
      <c r="K230" s="53">
        <v>69</v>
      </c>
      <c r="L230" s="53">
        <v>9</v>
      </c>
      <c r="M230" s="53">
        <v>20</v>
      </c>
      <c r="N230" s="53">
        <v>3944</v>
      </c>
      <c r="O230" s="53">
        <v>110271.51218978132</v>
      </c>
      <c r="P230" s="53">
        <v>2492</v>
      </c>
      <c r="Q230" s="53">
        <v>5258</v>
      </c>
      <c r="R230" s="53">
        <v>1162</v>
      </c>
      <c r="S230" s="53">
        <v>2571</v>
      </c>
      <c r="T230" s="53">
        <v>1101</v>
      </c>
      <c r="U230" s="53">
        <v>1841</v>
      </c>
      <c r="V230" s="53">
        <v>1913</v>
      </c>
      <c r="W230" s="53">
        <v>1030</v>
      </c>
      <c r="X230" s="53">
        <v>1031</v>
      </c>
      <c r="Y230" s="53">
        <v>820</v>
      </c>
      <c r="Z230" s="53">
        <v>5303</v>
      </c>
      <c r="AA230" s="53">
        <v>109480043.905</v>
      </c>
      <c r="AB230" s="53">
        <v>277</v>
      </c>
      <c r="AC230" s="53">
        <v>4750</v>
      </c>
      <c r="AD230" s="53">
        <v>262</v>
      </c>
      <c r="AE230" s="53">
        <v>106</v>
      </c>
      <c r="AF230" s="53">
        <v>484</v>
      </c>
      <c r="AG230" s="53">
        <v>158</v>
      </c>
      <c r="AH230" s="53">
        <v>154</v>
      </c>
      <c r="AI230" s="54">
        <v>3327</v>
      </c>
      <c r="AJ230" s="53">
        <v>525</v>
      </c>
      <c r="AK230" s="53">
        <v>5</v>
      </c>
      <c r="AL230" s="53">
        <v>5303</v>
      </c>
      <c r="AM230" s="53">
        <v>433</v>
      </c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</row>
    <row r="231" spans="1:56" hidden="1" x14ac:dyDescent="0.25">
      <c r="A231" s="51" t="s">
        <v>49</v>
      </c>
      <c r="B231" s="52">
        <v>32</v>
      </c>
      <c r="C231" s="51" t="s">
        <v>83</v>
      </c>
      <c r="D231" s="51" t="s">
        <v>27</v>
      </c>
      <c r="E231" s="51" t="s">
        <v>92</v>
      </c>
      <c r="F231" s="51">
        <v>2018</v>
      </c>
      <c r="G231" s="53">
        <v>1538</v>
      </c>
      <c r="H231" s="53">
        <v>619</v>
      </c>
      <c r="I231" s="53">
        <v>919</v>
      </c>
      <c r="J231" s="53">
        <v>26709</v>
      </c>
      <c r="K231" s="53">
        <v>60</v>
      </c>
      <c r="L231" s="53">
        <v>18</v>
      </c>
      <c r="M231" s="53">
        <v>7</v>
      </c>
      <c r="N231" s="53">
        <v>1226</v>
      </c>
      <c r="O231" s="53">
        <v>89190.403622109137</v>
      </c>
      <c r="P231" s="53">
        <v>671</v>
      </c>
      <c r="Q231" s="53">
        <v>1552</v>
      </c>
      <c r="R231" s="53">
        <v>311</v>
      </c>
      <c r="S231" s="53">
        <v>1015</v>
      </c>
      <c r="T231" s="53">
        <v>328</v>
      </c>
      <c r="U231" s="53">
        <v>801</v>
      </c>
      <c r="V231" s="53">
        <v>779</v>
      </c>
      <c r="W231" s="53">
        <v>262</v>
      </c>
      <c r="X231" s="53">
        <v>260</v>
      </c>
      <c r="Y231" s="53">
        <v>259</v>
      </c>
      <c r="Z231" s="53">
        <v>1538</v>
      </c>
      <c r="AA231" s="53">
        <v>41952964.865000002</v>
      </c>
      <c r="AB231" s="53">
        <v>85</v>
      </c>
      <c r="AC231" s="53">
        <v>1344</v>
      </c>
      <c r="AD231" s="53">
        <v>169</v>
      </c>
      <c r="AE231" s="53">
        <v>75</v>
      </c>
      <c r="AF231" s="53">
        <v>197</v>
      </c>
      <c r="AG231" s="53">
        <v>62</v>
      </c>
      <c r="AH231" s="53">
        <v>76</v>
      </c>
      <c r="AI231" s="54">
        <v>2252</v>
      </c>
      <c r="AJ231" s="53">
        <v>218</v>
      </c>
      <c r="AK231" s="53">
        <v>2</v>
      </c>
      <c r="AL231" s="53">
        <v>1288.075</v>
      </c>
      <c r="AM231" s="53">
        <v>78</v>
      </c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</row>
    <row r="232" spans="1:56" hidden="1" x14ac:dyDescent="0.25">
      <c r="A232" s="51" t="s">
        <v>134</v>
      </c>
      <c r="B232" s="52">
        <v>33</v>
      </c>
      <c r="C232" s="51" t="s">
        <v>135</v>
      </c>
      <c r="D232" s="51" t="s">
        <v>40</v>
      </c>
      <c r="E232" s="51" t="s">
        <v>92</v>
      </c>
      <c r="F232" s="51">
        <v>2018</v>
      </c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>
        <v>664</v>
      </c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</row>
    <row r="233" spans="1:56" x14ac:dyDescent="0.25">
      <c r="A233" s="38" t="s">
        <v>50</v>
      </c>
      <c r="B233" s="39">
        <v>0</v>
      </c>
      <c r="C233" s="38" t="s">
        <v>133</v>
      </c>
      <c r="D233" s="38" t="s">
        <v>39</v>
      </c>
      <c r="E233" s="38" t="s">
        <v>87</v>
      </c>
      <c r="F233" s="38">
        <v>2012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>
        <v>256402</v>
      </c>
      <c r="AP233" s="35">
        <v>1450045</v>
      </c>
      <c r="AQ233" s="35">
        <v>1450045</v>
      </c>
      <c r="AR233" s="35">
        <v>1457806</v>
      </c>
      <c r="AS233" s="35">
        <v>1336007</v>
      </c>
      <c r="AT233" s="35">
        <v>1336007</v>
      </c>
      <c r="AU233" s="35">
        <v>1334976.8</v>
      </c>
      <c r="AV233" s="35">
        <v>1339687.2</v>
      </c>
      <c r="AW233" s="35">
        <v>115068.5</v>
      </c>
      <c r="AX233" s="35">
        <v>118119</v>
      </c>
      <c r="AY233" s="35">
        <v>114038</v>
      </c>
      <c r="AZ233" s="35">
        <v>1450045.3</v>
      </c>
      <c r="BA233" s="35">
        <v>113831</v>
      </c>
      <c r="BB233" s="35">
        <v>121799</v>
      </c>
      <c r="BC233" s="35">
        <v>1450045</v>
      </c>
      <c r="BD233" s="35">
        <v>1457806</v>
      </c>
    </row>
    <row r="234" spans="1:56" x14ac:dyDescent="0.25">
      <c r="A234" s="40" t="s">
        <v>50</v>
      </c>
      <c r="B234" s="41">
        <v>0</v>
      </c>
      <c r="C234" s="40" t="s">
        <v>133</v>
      </c>
      <c r="D234" s="40" t="s">
        <v>39</v>
      </c>
      <c r="E234" s="40" t="s">
        <v>88</v>
      </c>
      <c r="F234" s="40">
        <v>2013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>
        <v>267870.54704999999</v>
      </c>
      <c r="AP234" s="42">
        <v>1477702</v>
      </c>
      <c r="AQ234" s="42">
        <v>1477702</v>
      </c>
      <c r="AR234" s="42">
        <v>1497810.8</v>
      </c>
      <c r="AS234" s="42">
        <v>1379713.2</v>
      </c>
      <c r="AT234" s="42">
        <v>1379713.2</v>
      </c>
      <c r="AU234" s="42">
        <v>1414326.6</v>
      </c>
      <c r="AV234" s="42">
        <v>1433622.3</v>
      </c>
      <c r="AW234" s="42">
        <v>63375.4</v>
      </c>
      <c r="AX234" s="42">
        <v>64188.5</v>
      </c>
      <c r="AY234" s="42">
        <v>97988.800000000003</v>
      </c>
      <c r="AZ234" s="42">
        <v>1477702</v>
      </c>
      <c r="BA234" s="42">
        <v>113139.511</v>
      </c>
      <c r="BB234" s="42">
        <v>118097.60000000001</v>
      </c>
      <c r="BC234" s="42">
        <v>1477702</v>
      </c>
      <c r="BD234" s="42">
        <v>1497810.8</v>
      </c>
    </row>
    <row r="235" spans="1:56" x14ac:dyDescent="0.25">
      <c r="A235" s="43" t="s">
        <v>50</v>
      </c>
      <c r="B235" s="44">
        <v>0</v>
      </c>
      <c r="C235" s="43" t="s">
        <v>133</v>
      </c>
      <c r="D235" s="43" t="s">
        <v>39</v>
      </c>
      <c r="E235" s="43" t="s">
        <v>89</v>
      </c>
      <c r="F235" s="43">
        <v>2014</v>
      </c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>
        <v>769</v>
      </c>
      <c r="AN235" s="36"/>
      <c r="AO235" s="36">
        <v>282670</v>
      </c>
      <c r="AP235" s="36">
        <v>1422011.4</v>
      </c>
      <c r="AQ235" s="36">
        <v>1422011.4</v>
      </c>
      <c r="AR235" s="36">
        <v>1425249.5</v>
      </c>
      <c r="AS235" s="36">
        <v>1296985</v>
      </c>
      <c r="AT235" s="36">
        <v>1296985</v>
      </c>
      <c r="AU235" s="36">
        <v>1409321.5</v>
      </c>
      <c r="AV235" s="36">
        <v>1412252.6</v>
      </c>
      <c r="AW235" s="36">
        <v>12690</v>
      </c>
      <c r="AX235" s="36">
        <v>12997</v>
      </c>
      <c r="AY235" s="36">
        <v>111761.9</v>
      </c>
      <c r="AZ235" s="36">
        <v>1422011.4</v>
      </c>
      <c r="BA235" s="36">
        <v>105208.6</v>
      </c>
      <c r="BB235" s="36">
        <v>115000</v>
      </c>
      <c r="BC235" s="36">
        <v>1422011.4</v>
      </c>
      <c r="BD235" s="36">
        <v>1425249.5</v>
      </c>
    </row>
    <row r="236" spans="1:56" x14ac:dyDescent="0.25">
      <c r="A236" s="45" t="s">
        <v>50</v>
      </c>
      <c r="B236" s="46">
        <v>0</v>
      </c>
      <c r="C236" s="45" t="s">
        <v>133</v>
      </c>
      <c r="D236" s="45" t="s">
        <v>39</v>
      </c>
      <c r="E236" s="45" t="s">
        <v>90</v>
      </c>
      <c r="F236" s="45">
        <v>2015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>
        <v>195</v>
      </c>
      <c r="AN236" s="14"/>
      <c r="AO236" s="14">
        <v>299517.17913</v>
      </c>
      <c r="AP236" s="14">
        <v>1430230.9999999998</v>
      </c>
      <c r="AQ236" s="14">
        <v>1430230.9999999998</v>
      </c>
      <c r="AR236" s="14">
        <v>1425327.2999999998</v>
      </c>
      <c r="AS236" s="14">
        <v>1358327.2999999998</v>
      </c>
      <c r="AT236" s="14">
        <v>1358327.2999999998</v>
      </c>
      <c r="AU236" s="14">
        <v>1409572.0999999999</v>
      </c>
      <c r="AV236" s="14">
        <v>1404668.4</v>
      </c>
      <c r="AW236" s="14">
        <v>20658.900000000001</v>
      </c>
      <c r="AX236" s="14">
        <v>20658.900000000001</v>
      </c>
      <c r="AY236" s="14">
        <v>71903.7</v>
      </c>
      <c r="AZ236" s="14">
        <v>1430230.9999999998</v>
      </c>
      <c r="BA236" s="14">
        <v>60560.5</v>
      </c>
      <c r="BB236" s="14">
        <v>67000</v>
      </c>
      <c r="BC236" s="14">
        <v>1430230.9999999998</v>
      </c>
      <c r="BD236" s="14">
        <v>1425327.2999999998</v>
      </c>
    </row>
    <row r="237" spans="1:56" x14ac:dyDescent="0.25">
      <c r="A237" s="47" t="s">
        <v>50</v>
      </c>
      <c r="B237" s="48">
        <v>0</v>
      </c>
      <c r="C237" s="47" t="s">
        <v>133</v>
      </c>
      <c r="D237" s="47" t="s">
        <v>39</v>
      </c>
      <c r="E237" s="47" t="s">
        <v>91</v>
      </c>
      <c r="F237" s="47">
        <v>2016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>
        <v>2273</v>
      </c>
      <c r="AJ237" s="15"/>
      <c r="AK237" s="15"/>
      <c r="AL237" s="15"/>
      <c r="AM237" s="15">
        <v>460</v>
      </c>
      <c r="AN237" s="15"/>
      <c r="AO237" s="15">
        <v>327125.75745099987</v>
      </c>
      <c r="AP237" s="15">
        <v>1521741.574</v>
      </c>
      <c r="AQ237" s="15">
        <v>1521741.574</v>
      </c>
      <c r="AR237" s="15">
        <v>1524483.65</v>
      </c>
      <c r="AS237" s="15">
        <v>1470588.7209999999</v>
      </c>
      <c r="AT237" s="15">
        <v>1471983.65</v>
      </c>
      <c r="AU237" s="15">
        <v>1474213.6429999999</v>
      </c>
      <c r="AV237" s="15">
        <v>1476955.71</v>
      </c>
      <c r="AW237" s="15">
        <v>47527.930999999997</v>
      </c>
      <c r="AX237" s="15">
        <v>47527.94</v>
      </c>
      <c r="AY237" s="15">
        <v>51152.853000000003</v>
      </c>
      <c r="AZ237" s="15">
        <v>1521741.574</v>
      </c>
      <c r="BA237" s="15">
        <v>51638.898000000001</v>
      </c>
      <c r="BB237" s="15">
        <v>52500</v>
      </c>
      <c r="BC237" s="15">
        <v>1521741.574</v>
      </c>
      <c r="BD237" s="15">
        <v>1524483.65</v>
      </c>
    </row>
    <row r="238" spans="1:56" x14ac:dyDescent="0.25">
      <c r="A238" s="49" t="s">
        <v>50</v>
      </c>
      <c r="B238" s="50">
        <v>0</v>
      </c>
      <c r="C238" s="49" t="s">
        <v>133</v>
      </c>
      <c r="D238" s="49" t="s">
        <v>39</v>
      </c>
      <c r="E238" s="49" t="s">
        <v>47</v>
      </c>
      <c r="F238" s="49">
        <v>2017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>
        <v>3330</v>
      </c>
      <c r="AJ238" s="16"/>
      <c r="AK238" s="16"/>
      <c r="AL238" s="16">
        <v>0</v>
      </c>
      <c r="AM238" s="16">
        <v>459</v>
      </c>
      <c r="AN238" s="16"/>
      <c r="AO238" s="16">
        <v>364874.22713000007</v>
      </c>
      <c r="AP238" s="16">
        <v>1581332.3219999999</v>
      </c>
      <c r="AQ238" s="16">
        <v>1581332.3219999999</v>
      </c>
      <c r="AR238" s="16">
        <v>1587194</v>
      </c>
      <c r="AS238" s="16">
        <v>1532193.57</v>
      </c>
      <c r="AT238" s="16">
        <v>1532193.57</v>
      </c>
      <c r="AU238" s="16">
        <v>1522202.77</v>
      </c>
      <c r="AV238" s="16">
        <v>1528064.0179999999</v>
      </c>
      <c r="AW238" s="16">
        <v>59130</v>
      </c>
      <c r="AX238" s="16">
        <v>59130</v>
      </c>
      <c r="AY238" s="16">
        <v>49138.752</v>
      </c>
      <c r="AZ238" s="16">
        <v>1581332.3219999999</v>
      </c>
      <c r="BA238" s="16">
        <v>49482.362999999998</v>
      </c>
      <c r="BB238" s="16">
        <v>55000</v>
      </c>
      <c r="BC238" s="16">
        <v>1581332.3219999999</v>
      </c>
      <c r="BD238" s="16">
        <v>1587193.57</v>
      </c>
    </row>
    <row r="239" spans="1:56" x14ac:dyDescent="0.25">
      <c r="A239" s="51" t="s">
        <v>50</v>
      </c>
      <c r="B239" s="52">
        <v>0</v>
      </c>
      <c r="C239" s="51" t="s">
        <v>133</v>
      </c>
      <c r="D239" s="51" t="s">
        <v>39</v>
      </c>
      <c r="E239" s="51" t="s">
        <v>92</v>
      </c>
      <c r="F239" s="51">
        <v>2018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>
        <v>1188</v>
      </c>
      <c r="AJ239" s="53"/>
      <c r="AK239" s="53"/>
      <c r="AL239" s="53"/>
      <c r="AM239" s="53">
        <v>9103</v>
      </c>
      <c r="AN239" s="53"/>
      <c r="AO239" s="53">
        <v>367837.29021000001</v>
      </c>
      <c r="AP239" s="53">
        <v>1578480</v>
      </c>
      <c r="AQ239" s="53">
        <v>1578480</v>
      </c>
      <c r="AR239" s="53">
        <v>1583166</v>
      </c>
      <c r="AS239" s="53">
        <v>1528166.3060000001</v>
      </c>
      <c r="AT239" s="53">
        <v>1528166.3060000001</v>
      </c>
      <c r="AU239" s="53">
        <v>1574833.44</v>
      </c>
      <c r="AV239" s="53">
        <v>1579519.281</v>
      </c>
      <c r="AW239" s="53">
        <v>3647.0250000000001</v>
      </c>
      <c r="AX239" s="53">
        <v>3647.0250000000001</v>
      </c>
      <c r="AY239" s="53">
        <v>50314.159</v>
      </c>
      <c r="AZ239" s="53">
        <v>1578480.4650000001</v>
      </c>
      <c r="BA239" s="53">
        <v>50568.584999999999</v>
      </c>
      <c r="BB239" s="53">
        <v>55000</v>
      </c>
      <c r="BC239" s="53">
        <v>1578480.4650000001</v>
      </c>
      <c r="BD239" s="53">
        <v>1583166.3060000001</v>
      </c>
    </row>
    <row r="242" spans="7:11" x14ac:dyDescent="0.25">
      <c r="G242" s="12">
        <f>SUBTOTAL(9,G101:G132)</f>
        <v>0</v>
      </c>
      <c r="K242" s="12">
        <f>SUBTOTAL(9,K101:K132)*40*2</f>
        <v>0</v>
      </c>
    </row>
  </sheetData>
  <autoFilter ref="A1:BD239">
    <filterColumn colId="3">
      <filters>
        <filter val="Oficinas Nacionales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F21" sqref="F2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166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87">
        <f>$B$56</f>
        <v>3.5886737030570868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87">
        <f>$C$56</f>
        <v>3.6066068210471562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87">
        <f>$D$56</f>
        <v>3.6164394797381685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87">
        <f>$E$56</f>
        <v>3.6499929623287373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87">
        <f>$F$56</f>
        <v>3.7629704979145839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87">
        <f>$G$56</f>
        <v>3.8761252017141596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87">
        <f>$H$56</f>
        <v>3.8587193062876439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-1.7405895426515716E-2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169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2">
        <v>3.3639061461743149</v>
      </c>
      <c r="C19" s="82">
        <v>3.3889641586722625</v>
      </c>
      <c r="D19" s="82">
        <v>3.3862470640602909</v>
      </c>
      <c r="E19" s="82">
        <v>3.3902733932207121</v>
      </c>
      <c r="F19" s="82">
        <v>3.4944890276900438</v>
      </c>
      <c r="G19" s="82">
        <v>3.6115782040145024</v>
      </c>
      <c r="H19" s="82">
        <v>3.5923875702717774</v>
      </c>
      <c r="I19" s="98">
        <f>H19-G19</f>
        <v>-1.9190633742725005E-2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2">
        <v>5.5048588599184347</v>
      </c>
      <c r="C20" s="82">
        <v>5.2597501049143744</v>
      </c>
      <c r="D20" s="82">
        <v>5.2576738581479505</v>
      </c>
      <c r="E20" s="82">
        <v>5.6691732622008884</v>
      </c>
      <c r="F20" s="82">
        <v>5.6569917485822421</v>
      </c>
      <c r="G20" s="82">
        <v>5.7210395604319633</v>
      </c>
      <c r="H20" s="82">
        <v>5.7170512311640049</v>
      </c>
      <c r="I20" s="97">
        <f t="shared" ref="I20:I56" si="0">H20-G20</f>
        <v>-3.9883292679583349E-3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2">
        <v>3.5358269616915101</v>
      </c>
      <c r="C21" s="82">
        <v>3.3805830782046931</v>
      </c>
      <c r="D21" s="82">
        <v>3.4103746784074787</v>
      </c>
      <c r="E21" s="82">
        <v>3.2851881243806016</v>
      </c>
      <c r="F21" s="82">
        <v>3.3146691555157655</v>
      </c>
      <c r="G21" s="82">
        <v>3.4248573838373355</v>
      </c>
      <c r="H21" s="82">
        <v>3.5256829811803039</v>
      </c>
      <c r="I21" s="97">
        <f t="shared" si="0"/>
        <v>0.10082559734296836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2">
        <v>3.9205700208030776</v>
      </c>
      <c r="C22" s="82">
        <v>4.1081110208032561</v>
      </c>
      <c r="D22" s="82">
        <v>3.8378103846065157</v>
      </c>
      <c r="E22" s="82">
        <v>3.2612087933396499</v>
      </c>
      <c r="F22" s="82">
        <v>3.2956622083104037</v>
      </c>
      <c r="G22" s="82">
        <v>2.9473163658701567</v>
      </c>
      <c r="H22" s="82">
        <v>3.0465010292488626</v>
      </c>
      <c r="I22" s="97">
        <f t="shared" si="0"/>
        <v>9.9184663378705906E-2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2">
        <v>2.6727893231747015</v>
      </c>
      <c r="C23" s="82">
        <v>2.7738396696796839</v>
      </c>
      <c r="D23" s="82">
        <v>2.7277447255666147</v>
      </c>
      <c r="E23" s="82">
        <v>2.582544594519137</v>
      </c>
      <c r="F23" s="82">
        <v>2.5373371809306389</v>
      </c>
      <c r="G23" s="82">
        <v>2.6401000665769612</v>
      </c>
      <c r="H23" s="82">
        <v>2.9062752354049461</v>
      </c>
      <c r="I23" s="97">
        <f t="shared" si="0"/>
        <v>0.26617516882798498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2">
        <v>1.6692901112632372</v>
      </c>
      <c r="C24" s="82">
        <v>1.7464058527792266</v>
      </c>
      <c r="D24" s="82">
        <v>1.6763231639437006</v>
      </c>
      <c r="E24" s="82">
        <v>1.7196173188359902</v>
      </c>
      <c r="F24" s="82">
        <v>1.8233795604768961</v>
      </c>
      <c r="G24" s="82">
        <v>1.8086707261221153</v>
      </c>
      <c r="H24" s="82">
        <v>1.7496854226792733</v>
      </c>
      <c r="I24" s="97">
        <f t="shared" si="0"/>
        <v>-5.898530344284203E-2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2">
        <v>3.7860832796605055</v>
      </c>
      <c r="C25" s="82">
        <v>3.702705448436419</v>
      </c>
      <c r="D25" s="82">
        <v>3.9691405448463315</v>
      </c>
      <c r="E25" s="82">
        <v>4.1203294315273036</v>
      </c>
      <c r="F25" s="82">
        <v>3.9531009129411889</v>
      </c>
      <c r="G25" s="82">
        <v>4.0155191629817324</v>
      </c>
      <c r="H25" s="82">
        <v>3.7107633791644732</v>
      </c>
      <c r="I25" s="97">
        <f t="shared" si="0"/>
        <v>-0.30475578381725921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2">
        <v>4.3908840548052535</v>
      </c>
      <c r="C26" s="82">
        <v>4.3195013636354096</v>
      </c>
      <c r="D26" s="82">
        <v>4.3473854565009153</v>
      </c>
      <c r="E26" s="82">
        <v>4.6414511395524123</v>
      </c>
      <c r="F26" s="82">
        <v>4.8046568936307796</v>
      </c>
      <c r="G26" s="82">
        <v>5.2369822903026986</v>
      </c>
      <c r="H26" s="82">
        <v>5.5168676881490208</v>
      </c>
      <c r="I26" s="97">
        <f t="shared" si="0"/>
        <v>0.27988539784632227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2">
        <v>3.0410030790305025</v>
      </c>
      <c r="C27" s="82">
        <v>3.0586683784995485</v>
      </c>
      <c r="D27" s="82">
        <v>3.1375187654516834</v>
      </c>
      <c r="E27" s="82">
        <v>3.0616552706795663</v>
      </c>
      <c r="F27" s="82">
        <v>3.1788187351204895</v>
      </c>
      <c r="G27" s="82">
        <v>3.0015324141652</v>
      </c>
      <c r="H27" s="82">
        <v>3.1996995829920096</v>
      </c>
      <c r="I27" s="97">
        <f t="shared" si="0"/>
        <v>0.19816716882680963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2">
        <v>1.9099482264394068</v>
      </c>
      <c r="C28" s="82">
        <v>1.9732211841659681</v>
      </c>
      <c r="D28" s="82">
        <v>1.9815756584928128</v>
      </c>
      <c r="E28" s="82">
        <v>1.7722902041585036</v>
      </c>
      <c r="F28" s="82">
        <v>1.6789266945935091</v>
      </c>
      <c r="G28" s="82">
        <v>1.6809185735959662</v>
      </c>
      <c r="H28" s="82">
        <v>1.5370224334304561</v>
      </c>
      <c r="I28" s="97">
        <f t="shared" si="0"/>
        <v>-0.14389614016551011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2">
        <v>4.0123730895413559</v>
      </c>
      <c r="C29" s="82">
        <v>4.4441366096704504</v>
      </c>
      <c r="D29" s="82">
        <v>4.2848742516273317</v>
      </c>
      <c r="E29" s="82">
        <v>3.965432394407995</v>
      </c>
      <c r="F29" s="82">
        <v>4.0757598175945224</v>
      </c>
      <c r="G29" s="82">
        <v>4.4223461870746101</v>
      </c>
      <c r="H29" s="82">
        <v>4.4578956638947789</v>
      </c>
      <c r="I29" s="97">
        <f t="shared" si="0"/>
        <v>3.5549476820168735E-2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2">
        <v>2.4624866224956663</v>
      </c>
      <c r="C30" s="82">
        <v>2.4528769658042768</v>
      </c>
      <c r="D30" s="82">
        <v>2.373651777008571</v>
      </c>
      <c r="E30" s="82">
        <v>2.2743822916088461</v>
      </c>
      <c r="F30" s="82">
        <v>2.1982281842816636</v>
      </c>
      <c r="G30" s="82">
        <v>2.2384565818901572</v>
      </c>
      <c r="H30" s="82">
        <v>2.2592327801438281</v>
      </c>
      <c r="I30" s="97">
        <f t="shared" si="0"/>
        <v>2.0776198253670941E-2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2">
        <v>1.7884083647743794</v>
      </c>
      <c r="C31" s="82">
        <v>1.8766058776204642</v>
      </c>
      <c r="D31" s="82">
        <v>1.6893783312920359</v>
      </c>
      <c r="E31" s="82">
        <v>1.9350242594391054</v>
      </c>
      <c r="F31" s="82">
        <v>2.0134915492129366</v>
      </c>
      <c r="G31" s="82">
        <v>1.9796298573664908</v>
      </c>
      <c r="H31" s="82">
        <v>1.9168003536782736</v>
      </c>
      <c r="I31" s="97">
        <f t="shared" si="0"/>
        <v>-6.2829503688217159E-2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2">
        <v>2.709104138886627</v>
      </c>
      <c r="C32" s="82">
        <v>2.6771370711930929</v>
      </c>
      <c r="D32" s="82">
        <v>2.7114328369280392</v>
      </c>
      <c r="E32" s="82">
        <v>2.552153124708064</v>
      </c>
      <c r="F32" s="82">
        <v>2.5761664280795316</v>
      </c>
      <c r="G32" s="82">
        <v>2.6636274170373504</v>
      </c>
      <c r="H32" s="82">
        <v>2.6834073585774711</v>
      </c>
      <c r="I32" s="97">
        <f t="shared" si="0"/>
        <v>1.9779941540120749E-2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2">
        <v>4.1365006239356097</v>
      </c>
      <c r="C33" s="82">
        <v>4.046066917801399</v>
      </c>
      <c r="D33" s="82">
        <v>4.0313288748686773</v>
      </c>
      <c r="E33" s="82">
        <v>4.3836199538510172</v>
      </c>
      <c r="F33" s="82">
        <v>4.5117777282983953</v>
      </c>
      <c r="G33" s="82">
        <v>4.5828585368873709</v>
      </c>
      <c r="H33" s="82">
        <v>4.5337704434559214</v>
      </c>
      <c r="I33" s="97">
        <f t="shared" si="0"/>
        <v>-4.9088093431449487E-2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2">
        <v>3.4260464401904653</v>
      </c>
      <c r="C34" s="82">
        <v>3.2884641309101577</v>
      </c>
      <c r="D34" s="82">
        <v>3.2996015749159295</v>
      </c>
      <c r="E34" s="82">
        <v>3.3841352498028541</v>
      </c>
      <c r="F34" s="82">
        <v>3.5459979396757246</v>
      </c>
      <c r="G34" s="82">
        <v>3.6450647979202833</v>
      </c>
      <c r="H34" s="82">
        <v>3.6945637677904029</v>
      </c>
      <c r="I34" s="97">
        <f t="shared" si="0"/>
        <v>4.9498969870119591E-2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2">
        <v>4.0471071930081308</v>
      </c>
      <c r="C35" s="82">
        <v>3.8942880609470389</v>
      </c>
      <c r="D35" s="82">
        <v>3.9759362976275159</v>
      </c>
      <c r="E35" s="82">
        <v>3.629882529863643</v>
      </c>
      <c r="F35" s="82">
        <v>3.7300292331278002</v>
      </c>
      <c r="G35" s="82">
        <v>3.8083544231168172</v>
      </c>
      <c r="H35" s="82">
        <v>3.8269558333098619</v>
      </c>
      <c r="I35" s="97">
        <f t="shared" si="0"/>
        <v>1.8601410193044732E-2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2">
        <v>4.237154685715729</v>
      </c>
      <c r="C36" s="82">
        <v>4.1706130690158485</v>
      </c>
      <c r="D36" s="82">
        <v>4.0767882856785613</v>
      </c>
      <c r="E36" s="82">
        <v>3.9427895569969604</v>
      </c>
      <c r="F36" s="82">
        <v>4.1746634680809711</v>
      </c>
      <c r="G36" s="82">
        <v>3.9279979883478804</v>
      </c>
      <c r="H36" s="82">
        <v>3.5844797588664767</v>
      </c>
      <c r="I36" s="97">
        <f t="shared" si="0"/>
        <v>-0.34351822948140365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2">
        <v>5.2979302338388745</v>
      </c>
      <c r="C37" s="82">
        <v>5.5485464413525998</v>
      </c>
      <c r="D37" s="82">
        <v>5.6882921298525835</v>
      </c>
      <c r="E37" s="82">
        <v>5.6121263060415538</v>
      </c>
      <c r="F37" s="82">
        <v>6.1265564958876677</v>
      </c>
      <c r="G37" s="82">
        <v>6.5340881869929497</v>
      </c>
      <c r="H37" s="82">
        <v>6.4585205599116273</v>
      </c>
      <c r="I37" s="97">
        <f t="shared" si="0"/>
        <v>-7.5567627081322364E-2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2">
        <v>1.7336984459248708</v>
      </c>
      <c r="C38" s="82">
        <v>1.6717952148521817</v>
      </c>
      <c r="D38" s="82">
        <v>1.6599504786727151</v>
      </c>
      <c r="E38" s="82">
        <v>1.5989077023175085</v>
      </c>
      <c r="F38" s="82">
        <v>1.6524534631670831</v>
      </c>
      <c r="G38" s="82">
        <v>1.7088030936062704</v>
      </c>
      <c r="H38" s="82">
        <v>1.6917201172489875</v>
      </c>
      <c r="I38" s="97">
        <f t="shared" si="0"/>
        <v>-1.7082976357282842E-2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2">
        <v>2.2338110284098818</v>
      </c>
      <c r="C39" s="82">
        <v>2.4157046560894306</v>
      </c>
      <c r="D39" s="82">
        <v>2.6002139065630665</v>
      </c>
      <c r="E39" s="82">
        <v>2.4460895197869723</v>
      </c>
      <c r="F39" s="82">
        <v>2.4492105232753736</v>
      </c>
      <c r="G39" s="82">
        <v>2.5418772993842871</v>
      </c>
      <c r="H39" s="82">
        <v>2.6497554792320388</v>
      </c>
      <c r="I39" s="97">
        <f t="shared" si="0"/>
        <v>0.10787817984775172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2">
        <v>8.2962738403515441</v>
      </c>
      <c r="C40" s="82">
        <v>8.5145474531562702</v>
      </c>
      <c r="D40" s="82">
        <v>8.0081687191966502</v>
      </c>
      <c r="E40" s="82">
        <v>7.7108167617756465</v>
      </c>
      <c r="F40" s="82">
        <v>7.9859155539295106</v>
      </c>
      <c r="G40" s="82">
        <v>8.448553395222671</v>
      </c>
      <c r="H40" s="82">
        <v>8.1058512676183199</v>
      </c>
      <c r="I40" s="97">
        <f t="shared" si="0"/>
        <v>-0.34270212760435115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2">
        <v>2.7586935374433534</v>
      </c>
      <c r="C41" s="82">
        <v>2.6846464892575281</v>
      </c>
      <c r="D41" s="82">
        <v>2.5842679744234092</v>
      </c>
      <c r="E41" s="82">
        <v>2.5118416917789288</v>
      </c>
      <c r="F41" s="82">
        <v>2.6249883699547936</v>
      </c>
      <c r="G41" s="82">
        <v>2.7838552327084409</v>
      </c>
      <c r="H41" s="82">
        <v>2.660058687185435</v>
      </c>
      <c r="I41" s="97">
        <f t="shared" si="0"/>
        <v>-0.1237965455230059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2">
        <v>4.8612035257680377</v>
      </c>
      <c r="C42" s="82">
        <v>4.6483349597750587</v>
      </c>
      <c r="D42" s="82">
        <v>4.5170628899219034</v>
      </c>
      <c r="E42" s="82">
        <v>4.3200121848664521</v>
      </c>
      <c r="F42" s="82">
        <v>4.123562454325528</v>
      </c>
      <c r="G42" s="82">
        <v>4.5626670695945091</v>
      </c>
      <c r="H42" s="82">
        <v>4.6384514775401984</v>
      </c>
      <c r="I42" s="97">
        <f t="shared" si="0"/>
        <v>7.5784407945689303E-2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2">
        <v>6.7037342469743226</v>
      </c>
      <c r="C43" s="82">
        <v>6.9980857250310695</v>
      </c>
      <c r="D43" s="82">
        <v>7.0479115046829914</v>
      </c>
      <c r="E43" s="82">
        <v>7.1413742819929267</v>
      </c>
      <c r="F43" s="82">
        <v>7.9954512467917471</v>
      </c>
      <c r="G43" s="82">
        <v>8.059495798584237</v>
      </c>
      <c r="H43" s="82">
        <v>7.763877996119704</v>
      </c>
      <c r="I43" s="97">
        <f t="shared" si="0"/>
        <v>-0.29561780246453306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2">
        <v>3.2931749775725736</v>
      </c>
      <c r="C44" s="82">
        <v>3.3836690194395715</v>
      </c>
      <c r="D44" s="82">
        <v>3.5617293242825547</v>
      </c>
      <c r="E44" s="82">
        <v>3.5601737520163219</v>
      </c>
      <c r="F44" s="82">
        <v>3.5292418708898343</v>
      </c>
      <c r="G44" s="82">
        <v>3.6598557729650807</v>
      </c>
      <c r="H44" s="82">
        <v>3.7082124213714782</v>
      </c>
      <c r="I44" s="97">
        <f t="shared" si="0"/>
        <v>4.8356648406397529E-2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2">
        <v>4.0382705617257137</v>
      </c>
      <c r="C45" s="82">
        <v>4.1816702013952431</v>
      </c>
      <c r="D45" s="82">
        <v>4.3032644863324485</v>
      </c>
      <c r="E45" s="82">
        <v>4.0314032029217346</v>
      </c>
      <c r="F45" s="82">
        <v>4.0280797964552955</v>
      </c>
      <c r="G45" s="82">
        <v>4.0287414905494554</v>
      </c>
      <c r="H45" s="82">
        <v>3.9678717981070193</v>
      </c>
      <c r="I45" s="97">
        <f t="shared" si="0"/>
        <v>-6.0869692442436119E-2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2">
        <v>3.526718266996979</v>
      </c>
      <c r="C46" s="82">
        <v>3.4520220335309992</v>
      </c>
      <c r="D46" s="82">
        <v>3.4791996751049674</v>
      </c>
      <c r="E46" s="82">
        <v>3.3644116949433922</v>
      </c>
      <c r="F46" s="82">
        <v>3.6577487267251545</v>
      </c>
      <c r="G46" s="82">
        <v>3.948812960841821</v>
      </c>
      <c r="H46" s="82">
        <v>3.8632679941394179</v>
      </c>
      <c r="I46" s="97">
        <f t="shared" si="0"/>
        <v>-8.554496670240308E-2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2">
        <v>1.7138379054816286</v>
      </c>
      <c r="C47" s="82">
        <v>1.7254793619068125</v>
      </c>
      <c r="D47" s="82">
        <v>1.720686618023374</v>
      </c>
      <c r="E47" s="82">
        <v>1.7437446026067289</v>
      </c>
      <c r="F47" s="82">
        <v>1.7628953228528663</v>
      </c>
      <c r="G47" s="82">
        <v>1.7767319966673836</v>
      </c>
      <c r="H47" s="82">
        <v>1.7895716095521912</v>
      </c>
      <c r="I47" s="97">
        <f t="shared" si="0"/>
        <v>1.2839612884807616E-2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2">
        <v>2.8957138658459307</v>
      </c>
      <c r="C48" s="82">
        <v>3.1450712801939873</v>
      </c>
      <c r="D48" s="82">
        <v>3.1882484969364056</v>
      </c>
      <c r="E48" s="82">
        <v>3.0819228255653899</v>
      </c>
      <c r="F48" s="82">
        <v>3.3519117500057289</v>
      </c>
      <c r="G48" s="82">
        <v>3.5196959550552589</v>
      </c>
      <c r="H48" s="82">
        <v>3.5766263848928013</v>
      </c>
      <c r="I48" s="97">
        <f t="shared" si="0"/>
        <v>5.6930429837542373E-2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2">
        <v>1.4430348656590577</v>
      </c>
      <c r="C49" s="82">
        <v>1.5155548800837928</v>
      </c>
      <c r="D49" s="82">
        <v>1.4837426067408965</v>
      </c>
      <c r="E49" s="82">
        <v>1.4458950699628885</v>
      </c>
      <c r="F49" s="82">
        <v>1.3793357088593423</v>
      </c>
      <c r="G49" s="82">
        <v>1.3741418678552131</v>
      </c>
      <c r="H49" s="82">
        <v>1.374587343717425</v>
      </c>
      <c r="I49" s="97">
        <f t="shared" si="0"/>
        <v>4.4547586221188595E-4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101">
        <v>5.63489013626047</v>
      </c>
      <c r="C50" s="101">
        <v>5.6105640947368594</v>
      </c>
      <c r="D50" s="101">
        <v>5.759276874114148</v>
      </c>
      <c r="E50" s="101">
        <v>6.0936140157151621</v>
      </c>
      <c r="F50" s="101">
        <v>6.3137834134967648</v>
      </c>
      <c r="G50" s="101">
        <v>6.4118804734693873</v>
      </c>
      <c r="H50" s="101">
        <v>6.4332086160205426</v>
      </c>
      <c r="I50" s="96">
        <f t="shared" si="0"/>
        <v>2.1328142551155338E-2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2">
        <v>7.6459516166944033</v>
      </c>
      <c r="C51" s="82">
        <v>7.6671907127825856</v>
      </c>
      <c r="D51" s="82">
        <v>7.9619762528929741</v>
      </c>
      <c r="E51" s="82">
        <v>8.486794025592026</v>
      </c>
      <c r="F51" s="82">
        <v>8.7977035847873406</v>
      </c>
      <c r="G51" s="82">
        <v>8.9288326463241354</v>
      </c>
      <c r="H51" s="82">
        <v>9.0047176188423084</v>
      </c>
      <c r="I51" s="97">
        <f t="shared" si="0"/>
        <v>7.5884972518172944E-2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2">
        <v>2.1573341939936794</v>
      </c>
      <c r="C52" s="82">
        <v>2.0976308741905951</v>
      </c>
      <c r="D52" s="82">
        <v>2.036545736224066</v>
      </c>
      <c r="E52" s="82">
        <v>2.0787602568466701</v>
      </c>
      <c r="F52" s="82">
        <v>2.1644402614503551</v>
      </c>
      <c r="G52" s="82">
        <v>2.2174093397717591</v>
      </c>
      <c r="H52" s="82">
        <v>2.1579144300751101</v>
      </c>
      <c r="I52" s="97">
        <f t="shared" si="0"/>
        <v>-5.9494909696649056E-2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3">
        <f t="shared" si="0"/>
        <v>0</v>
      </c>
    </row>
    <row r="54" spans="1:15" hidden="1" x14ac:dyDescent="0.25">
      <c r="A54" s="57" t="s">
        <v>134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93">
        <f t="shared" si="0"/>
        <v>0</v>
      </c>
    </row>
    <row r="55" spans="1:15" hidden="1" x14ac:dyDescent="0.25">
      <c r="A55" s="59" t="s">
        <v>40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4">
        <f t="shared" si="0"/>
        <v>0</v>
      </c>
    </row>
    <row r="56" spans="1:15" hidden="1" x14ac:dyDescent="0.25">
      <c r="A56" s="57" t="s">
        <v>37</v>
      </c>
      <c r="B56" s="82">
        <v>3.5886737030570868</v>
      </c>
      <c r="C56" s="82">
        <v>3.6066068210471562</v>
      </c>
      <c r="D56" s="82">
        <v>3.6164394797381685</v>
      </c>
      <c r="E56" s="82">
        <v>3.6499929623287373</v>
      </c>
      <c r="F56" s="82">
        <v>3.7629704979145839</v>
      </c>
      <c r="G56" s="82">
        <v>3.8761252017141596</v>
      </c>
      <c r="H56" s="82">
        <v>3.8587193062876439</v>
      </c>
      <c r="I56" s="84">
        <f t="shared" si="0"/>
        <v>-1.7405895426515716E-2</v>
      </c>
    </row>
    <row r="57" spans="1:15" ht="6" customHeight="1" x14ac:dyDescent="0.25"/>
    <row r="58" spans="1:15" ht="24" customHeight="1" x14ac:dyDescent="0.25">
      <c r="A58" s="99" t="s">
        <v>167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ignoredErrors>
    <ignoredError sqref="B8:B15" calculatedColumn="1"/>
  </ignoredErrors>
  <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7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171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87">
        <f>$B$56</f>
        <v>73.055395049406712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87">
        <f>$C$56</f>
        <v>77.31354499342477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87">
        <f>$D$56</f>
        <v>81.471791231450496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87">
        <f>$E$56</f>
        <v>83.466287481002666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87">
        <f>$F$56</f>
        <v>77.391225361068223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87">
        <f>$G$56</f>
        <v>80.070425230604357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87">
        <f>$H$56</f>
        <v>81.04278601558201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0.97236078497765277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172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2">
        <v>72.504525247761649</v>
      </c>
      <c r="C19" s="82">
        <v>77.069055617767816</v>
      </c>
      <c r="D19" s="82">
        <v>81.903762259323642</v>
      </c>
      <c r="E19" s="82">
        <v>84.280324225806964</v>
      </c>
      <c r="F19" s="82">
        <v>77.48857278677734</v>
      </c>
      <c r="G19" s="82">
        <v>81.509333874201374</v>
      </c>
      <c r="H19" s="82">
        <v>82.412345967998121</v>
      </c>
      <c r="I19" s="98">
        <f>H19-G19</f>
        <v>0.90301209379674674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2">
        <v>39.824335904027421</v>
      </c>
      <c r="C20" s="82">
        <v>45.310880829015545</v>
      </c>
      <c r="D20" s="82">
        <v>52.706149050722587</v>
      </c>
      <c r="E20" s="82">
        <v>64.581046469081599</v>
      </c>
      <c r="F20" s="82">
        <v>92.484576556365667</v>
      </c>
      <c r="G20" s="82">
        <v>63.522238163558107</v>
      </c>
      <c r="H20" s="82">
        <v>57.664731990440423</v>
      </c>
      <c r="I20" s="97">
        <f t="shared" ref="I20:I56" si="0">H20-G20</f>
        <v>-5.8575061731176845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2">
        <v>77.959927140255019</v>
      </c>
      <c r="C21" s="82">
        <v>78.37226827430294</v>
      </c>
      <c r="D21" s="82">
        <v>85.539023753589134</v>
      </c>
      <c r="E21" s="82">
        <v>89.683124539425208</v>
      </c>
      <c r="F21" s="82">
        <v>80.444856348470807</v>
      </c>
      <c r="G21" s="82">
        <v>87.131782945736433</v>
      </c>
      <c r="H21" s="82">
        <v>90.723919625653721</v>
      </c>
      <c r="I21" s="97">
        <f t="shared" si="0"/>
        <v>3.5921366799172887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2">
        <v>73.145780051150894</v>
      </c>
      <c r="C22" s="82">
        <v>63.187991422444597</v>
      </c>
      <c r="D22" s="82">
        <v>61.385281385281388</v>
      </c>
      <c r="E22" s="82">
        <v>72.60726072607261</v>
      </c>
      <c r="F22" s="82">
        <v>74.299065420560751</v>
      </c>
      <c r="G22" s="82">
        <v>64.852607709750572</v>
      </c>
      <c r="H22" s="82">
        <v>68.036072144288568</v>
      </c>
      <c r="I22" s="97">
        <f t="shared" si="0"/>
        <v>3.1834644345379957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2">
        <v>78.781925343811395</v>
      </c>
      <c r="C23" s="82">
        <v>83.40292275574113</v>
      </c>
      <c r="D23" s="82">
        <v>81.400437636761495</v>
      </c>
      <c r="E23" s="82">
        <v>84.322508398656211</v>
      </c>
      <c r="F23" s="82">
        <v>82.130177514792905</v>
      </c>
      <c r="G23" s="82">
        <v>86.842105263157904</v>
      </c>
      <c r="H23" s="82">
        <v>89.662921348314612</v>
      </c>
      <c r="I23" s="97">
        <f t="shared" si="0"/>
        <v>2.8208160851567072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2">
        <v>68.39107736117704</v>
      </c>
      <c r="C24" s="82">
        <v>74.65167440723539</v>
      </c>
      <c r="D24" s="82">
        <v>74.953271028037378</v>
      </c>
      <c r="E24" s="82">
        <v>79.23450442730649</v>
      </c>
      <c r="F24" s="82">
        <v>81.907231345433601</v>
      </c>
      <c r="G24" s="82">
        <v>82.385490316630808</v>
      </c>
      <c r="H24" s="82">
        <v>82.647644326476438</v>
      </c>
      <c r="I24" s="97">
        <f t="shared" si="0"/>
        <v>0.26215400984563075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2">
        <v>82.970727848101262</v>
      </c>
      <c r="C25" s="82">
        <v>83.561020036429866</v>
      </c>
      <c r="D25" s="82">
        <v>86.008771929824562</v>
      </c>
      <c r="E25" s="82">
        <v>83.756345177664969</v>
      </c>
      <c r="F25" s="82">
        <v>81.834411961615714</v>
      </c>
      <c r="G25" s="82">
        <v>87.508690614136725</v>
      </c>
      <c r="H25" s="82">
        <v>82.195481335952849</v>
      </c>
      <c r="I25" s="97">
        <f t="shared" si="0"/>
        <v>-5.3132092781838764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2">
        <v>62.80571316767756</v>
      </c>
      <c r="C26" s="82">
        <v>76.134169884169893</v>
      </c>
      <c r="D26" s="82">
        <v>79.106933019976495</v>
      </c>
      <c r="E26" s="82">
        <v>82.268370607028757</v>
      </c>
      <c r="F26" s="82">
        <v>75.480179812014711</v>
      </c>
      <c r="G26" s="82">
        <v>70.644787004806901</v>
      </c>
      <c r="H26" s="82">
        <v>79.117588340986217</v>
      </c>
      <c r="I26" s="97">
        <f t="shared" si="0"/>
        <v>8.472801336179316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2">
        <v>77.285318559556785</v>
      </c>
      <c r="C27" s="82">
        <v>85.759493670886073</v>
      </c>
      <c r="D27" s="82">
        <v>87.367303609341832</v>
      </c>
      <c r="E27" s="82">
        <v>87.948207171314735</v>
      </c>
      <c r="F27" s="82">
        <v>87.2340425531915</v>
      </c>
      <c r="G27" s="82">
        <v>82.860520094562645</v>
      </c>
      <c r="H27" s="82">
        <v>87.5</v>
      </c>
      <c r="I27" s="97">
        <f t="shared" si="0"/>
        <v>4.639479905437355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2">
        <v>78.282469836763653</v>
      </c>
      <c r="C28" s="82">
        <v>84.883720930232556</v>
      </c>
      <c r="D28" s="82">
        <v>88.667820069204154</v>
      </c>
      <c r="E28" s="82">
        <v>85.79285059578369</v>
      </c>
      <c r="F28" s="82">
        <v>86.248736097067749</v>
      </c>
      <c r="G28" s="82">
        <v>87.057728119180638</v>
      </c>
      <c r="H28" s="82">
        <v>89.101796407185631</v>
      </c>
      <c r="I28" s="97">
        <f t="shared" si="0"/>
        <v>2.0440682880049934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2">
        <v>63.277421786656618</v>
      </c>
      <c r="C29" s="82">
        <v>65.501864764066809</v>
      </c>
      <c r="D29" s="82">
        <v>61.795021392454295</v>
      </c>
      <c r="E29" s="82">
        <v>59.89404219723022</v>
      </c>
      <c r="F29" s="82">
        <v>70.651847401622106</v>
      </c>
      <c r="G29" s="82">
        <v>73.865752082312596</v>
      </c>
      <c r="H29" s="82">
        <v>75.36593668444344</v>
      </c>
      <c r="I29" s="97">
        <f t="shared" si="0"/>
        <v>1.5001846021308438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2">
        <v>69.58649376070467</v>
      </c>
      <c r="C30" s="82">
        <v>76.520033622863551</v>
      </c>
      <c r="D30" s="82">
        <v>72.766323024054984</v>
      </c>
      <c r="E30" s="82">
        <v>75.590097869890613</v>
      </c>
      <c r="F30" s="82">
        <v>72.210462654974293</v>
      </c>
      <c r="G30" s="82">
        <v>73.631386861313857</v>
      </c>
      <c r="H30" s="82">
        <v>75.97836461979</v>
      </c>
      <c r="I30" s="97">
        <f t="shared" si="0"/>
        <v>2.3469777584761431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2">
        <v>77.942681678607983</v>
      </c>
      <c r="C31" s="82">
        <v>81.55893536121674</v>
      </c>
      <c r="D31" s="82">
        <v>79.741136747326962</v>
      </c>
      <c r="E31" s="82">
        <v>85.091277890466529</v>
      </c>
      <c r="F31" s="82">
        <v>80.976346250629092</v>
      </c>
      <c r="G31" s="82">
        <v>83.810637054354174</v>
      </c>
      <c r="H31" s="82">
        <v>86.225728155339809</v>
      </c>
      <c r="I31" s="97">
        <f t="shared" si="0"/>
        <v>2.4150911009856344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2">
        <v>60.684863523573199</v>
      </c>
      <c r="C32" s="82">
        <v>75.982767905223483</v>
      </c>
      <c r="D32" s="82">
        <v>83.972425678586816</v>
      </c>
      <c r="E32" s="82">
        <v>94.627245271022105</v>
      </c>
      <c r="F32" s="82">
        <v>96.210106382978722</v>
      </c>
      <c r="G32" s="82">
        <v>94.16046842854881</v>
      </c>
      <c r="H32" s="82">
        <v>95.283344851416729</v>
      </c>
      <c r="I32" s="97">
        <f t="shared" si="0"/>
        <v>1.1228764228679182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2">
        <v>78.567717699716269</v>
      </c>
      <c r="C33" s="82">
        <v>82.131182339206106</v>
      </c>
      <c r="D33" s="82">
        <v>98.503131205132121</v>
      </c>
      <c r="E33" s="82">
        <v>99.445408950617292</v>
      </c>
      <c r="F33" s="82">
        <v>66.049200249614088</v>
      </c>
      <c r="G33" s="82">
        <v>77.173957523427589</v>
      </c>
      <c r="H33" s="82">
        <v>78.943635529225247</v>
      </c>
      <c r="I33" s="97">
        <f t="shared" si="0"/>
        <v>1.7696780057976582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2">
        <v>75.664045110550532</v>
      </c>
      <c r="C34" s="82">
        <v>80.219594594594597</v>
      </c>
      <c r="D34" s="82">
        <v>79.303708887333798</v>
      </c>
      <c r="E34" s="82">
        <v>76.275598750433886</v>
      </c>
      <c r="F34" s="82">
        <v>80.170168432019452</v>
      </c>
      <c r="G34" s="82">
        <v>82.844202898550719</v>
      </c>
      <c r="H34" s="82">
        <v>85.66953797963977</v>
      </c>
      <c r="I34" s="97">
        <f t="shared" si="0"/>
        <v>2.825335081089051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2">
        <v>62.135319677219115</v>
      </c>
      <c r="C35" s="82">
        <v>89.453125</v>
      </c>
      <c r="D35" s="82">
        <v>86.044556536359821</v>
      </c>
      <c r="E35" s="82">
        <v>79.448105436573314</v>
      </c>
      <c r="F35" s="82">
        <v>78.490418459131789</v>
      </c>
      <c r="G35" s="82">
        <v>85.245183887915928</v>
      </c>
      <c r="H35" s="82">
        <v>84.717760440569066</v>
      </c>
      <c r="I35" s="97">
        <f t="shared" si="0"/>
        <v>-0.52742344734686242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2">
        <v>77.021276595744681</v>
      </c>
      <c r="C36" s="82">
        <v>77.784770295783517</v>
      </c>
      <c r="D36" s="82">
        <v>80.749448934606903</v>
      </c>
      <c r="E36" s="82">
        <v>85.060565275908488</v>
      </c>
      <c r="F36" s="82">
        <v>82.570422535211264</v>
      </c>
      <c r="G36" s="82">
        <v>86.759045419553502</v>
      </c>
      <c r="H36" s="82">
        <v>83.633633633633636</v>
      </c>
      <c r="I36" s="97">
        <f t="shared" si="0"/>
        <v>-3.1254117859198658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2">
        <v>74.267100977198695</v>
      </c>
      <c r="C37" s="82">
        <v>70.395353194678663</v>
      </c>
      <c r="D37" s="82">
        <v>81.13824683820323</v>
      </c>
      <c r="E37" s="82">
        <v>73.921251348435817</v>
      </c>
      <c r="F37" s="82">
        <v>77.690333618477339</v>
      </c>
      <c r="G37" s="82">
        <v>90.152818540633533</v>
      </c>
      <c r="H37" s="82">
        <v>86.792870585630467</v>
      </c>
      <c r="I37" s="97">
        <f t="shared" si="0"/>
        <v>-3.3599479550030651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2">
        <v>63.153173357254985</v>
      </c>
      <c r="C38" s="82">
        <v>68.012572533849124</v>
      </c>
      <c r="D38" s="82">
        <v>71.143650593284519</v>
      </c>
      <c r="E38" s="82">
        <v>70.797792272955334</v>
      </c>
      <c r="F38" s="82">
        <v>70.953101361573374</v>
      </c>
      <c r="G38" s="82">
        <v>69.074117925645268</v>
      </c>
      <c r="H38" s="82">
        <v>70.359969364309421</v>
      </c>
      <c r="I38" s="97">
        <f t="shared" si="0"/>
        <v>1.2858514386641531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2">
        <v>51.499788762146181</v>
      </c>
      <c r="C39" s="82">
        <v>61.845730027548207</v>
      </c>
      <c r="D39" s="82">
        <v>66.099417823555754</v>
      </c>
      <c r="E39" s="82">
        <v>60.528634361233479</v>
      </c>
      <c r="F39" s="82">
        <v>57.977815699658706</v>
      </c>
      <c r="G39" s="82">
        <v>70.642201834862391</v>
      </c>
      <c r="H39" s="82">
        <v>70.121951219512198</v>
      </c>
      <c r="I39" s="97">
        <f t="shared" si="0"/>
        <v>-0.5202506153501929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2">
        <v>77.506832036998105</v>
      </c>
      <c r="C40" s="82">
        <v>86.261658684144194</v>
      </c>
      <c r="D40" s="82">
        <v>85.053598774885145</v>
      </c>
      <c r="E40" s="82">
        <v>86.473684210526315</v>
      </c>
      <c r="F40" s="82">
        <v>83.425948296690024</v>
      </c>
      <c r="G40" s="82">
        <v>89.232381451401622</v>
      </c>
      <c r="H40" s="82">
        <v>86.904761904761912</v>
      </c>
      <c r="I40" s="97">
        <f t="shared" si="0"/>
        <v>-2.3276195466397098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2">
        <v>74.744724302246425</v>
      </c>
      <c r="C41" s="82">
        <v>84.082769598089939</v>
      </c>
      <c r="D41" s="82">
        <v>81.020487050637797</v>
      </c>
      <c r="E41" s="82">
        <v>81.135465325188648</v>
      </c>
      <c r="F41" s="82">
        <v>82.409107601909653</v>
      </c>
      <c r="G41" s="82">
        <v>76.734963648380699</v>
      </c>
      <c r="H41" s="82">
        <v>79.620462046204622</v>
      </c>
      <c r="I41" s="97">
        <f t="shared" si="0"/>
        <v>2.8854983978239233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2">
        <v>81.520613217319251</v>
      </c>
      <c r="C42" s="82">
        <v>82.428256070640174</v>
      </c>
      <c r="D42" s="82">
        <v>85.024018084204585</v>
      </c>
      <c r="E42" s="82">
        <v>86.659718603439302</v>
      </c>
      <c r="F42" s="82">
        <v>88.121140840929129</v>
      </c>
      <c r="G42" s="82">
        <v>88.000900495272404</v>
      </c>
      <c r="H42" s="82">
        <v>89.350993377483448</v>
      </c>
      <c r="I42" s="97">
        <f t="shared" si="0"/>
        <v>1.3500928822110438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2">
        <v>92.64147532091846</v>
      </c>
      <c r="C43" s="82">
        <v>98.004632104044191</v>
      </c>
      <c r="D43" s="82">
        <v>97.229822161422703</v>
      </c>
      <c r="E43" s="82">
        <v>98.396825396825392</v>
      </c>
      <c r="F43" s="82">
        <v>98.153214774281807</v>
      </c>
      <c r="G43" s="82">
        <v>97.553275453827936</v>
      </c>
      <c r="H43" s="82">
        <v>96.412919980522645</v>
      </c>
      <c r="I43" s="97">
        <f t="shared" si="0"/>
        <v>-1.1403554733052914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2">
        <v>94.978540772532199</v>
      </c>
      <c r="C44" s="82">
        <v>100</v>
      </c>
      <c r="D44" s="82">
        <v>100</v>
      </c>
      <c r="E44" s="82">
        <v>0</v>
      </c>
      <c r="F44" s="82">
        <v>97.233748271092665</v>
      </c>
      <c r="G44" s="82">
        <v>99.954689623923869</v>
      </c>
      <c r="H44" s="82">
        <v>100</v>
      </c>
      <c r="I44" s="97">
        <f t="shared" si="0"/>
        <v>4.5310376076130865E-2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2">
        <v>84.51192174444671</v>
      </c>
      <c r="C45" s="82">
        <v>82.893539581437665</v>
      </c>
      <c r="D45" s="82">
        <v>87.4035349763505</v>
      </c>
      <c r="E45" s="82">
        <v>89.083080040526852</v>
      </c>
      <c r="F45" s="82">
        <v>90.096320079031855</v>
      </c>
      <c r="G45" s="82">
        <v>89.901207464324912</v>
      </c>
      <c r="H45" s="82">
        <v>89.712514092446455</v>
      </c>
      <c r="I45" s="97">
        <f t="shared" si="0"/>
        <v>-0.18869337187845758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2">
        <v>81.318681318681314</v>
      </c>
      <c r="C46" s="82">
        <v>83.707124010554097</v>
      </c>
      <c r="D46" s="82">
        <v>89.082969432314414</v>
      </c>
      <c r="E46" s="82">
        <v>86.590909090909093</v>
      </c>
      <c r="F46" s="82">
        <v>89.946018893387318</v>
      </c>
      <c r="G46" s="82">
        <v>88.948787061994608</v>
      </c>
      <c r="H46" s="82">
        <v>84.233261339092863</v>
      </c>
      <c r="I46" s="97">
        <f t="shared" si="0"/>
        <v>-4.7155257229017451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2">
        <v>67.301414581066382</v>
      </c>
      <c r="C47" s="82">
        <v>66.183759054517736</v>
      </c>
      <c r="D47" s="82">
        <v>69.79690327769957</v>
      </c>
      <c r="E47" s="82">
        <v>69.988759835144251</v>
      </c>
      <c r="F47" s="82">
        <v>63.757396449704139</v>
      </c>
      <c r="G47" s="82">
        <v>66.322100475501344</v>
      </c>
      <c r="H47" s="82">
        <v>75.657591139824646</v>
      </c>
      <c r="I47" s="97">
        <f t="shared" si="0"/>
        <v>9.3354906643233022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2">
        <v>63.636363636363633</v>
      </c>
      <c r="C48" s="82">
        <v>71.773879142300189</v>
      </c>
      <c r="D48" s="82">
        <v>77.094972067039109</v>
      </c>
      <c r="E48" s="82">
        <v>77.575020275750205</v>
      </c>
      <c r="F48" s="82">
        <v>77.441332323996974</v>
      </c>
      <c r="G48" s="82">
        <v>81.558028616852155</v>
      </c>
      <c r="H48" s="82">
        <v>76.845906902086682</v>
      </c>
      <c r="I48" s="97">
        <f t="shared" si="0"/>
        <v>-4.7121217147654733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2">
        <v>82.119914346895072</v>
      </c>
      <c r="C49" s="82">
        <v>86.314655172413794</v>
      </c>
      <c r="D49" s="82">
        <v>87.974683544303801</v>
      </c>
      <c r="E49" s="82">
        <v>88.321995464852606</v>
      </c>
      <c r="F49" s="82">
        <v>90.64039408866995</v>
      </c>
      <c r="G49" s="82">
        <v>90.48257372654156</v>
      </c>
      <c r="H49" s="82">
        <v>92.250372578241439</v>
      </c>
      <c r="I49" s="97">
        <f t="shared" si="0"/>
        <v>1.7677988516998795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101">
        <v>75.981873111782477</v>
      </c>
      <c r="C50" s="101">
        <v>78.585858585858574</v>
      </c>
      <c r="D50" s="101">
        <v>79.443139369199372</v>
      </c>
      <c r="E50" s="101">
        <v>79.856803601176765</v>
      </c>
      <c r="F50" s="101">
        <v>76.922535211267601</v>
      </c>
      <c r="G50" s="101">
        <v>73.614951177685228</v>
      </c>
      <c r="H50" s="101">
        <v>75.107778140057235</v>
      </c>
      <c r="I50" s="96">
        <f t="shared" si="0"/>
        <v>1.492826962372007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2">
        <v>76.070080176473084</v>
      </c>
      <c r="C51" s="82">
        <v>78.665960825833764</v>
      </c>
      <c r="D51" s="82">
        <v>79.352051835853132</v>
      </c>
      <c r="E51" s="82">
        <v>79.927927927927939</v>
      </c>
      <c r="F51" s="82">
        <v>76.172659603796617</v>
      </c>
      <c r="G51" s="82">
        <v>72.962544334879382</v>
      </c>
      <c r="H51" s="82">
        <v>74.494969818913475</v>
      </c>
      <c r="I51" s="97">
        <f t="shared" si="0"/>
        <v>1.5324254840340927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2">
        <v>75.399271504623144</v>
      </c>
      <c r="C52" s="82">
        <v>77.994791666666657</v>
      </c>
      <c r="D52" s="82">
        <v>80.191693290734818</v>
      </c>
      <c r="E52" s="82">
        <v>79.308214947498456</v>
      </c>
      <c r="F52" s="82">
        <v>83.250249252243265</v>
      </c>
      <c r="G52" s="82">
        <v>79.355281207133061</v>
      </c>
      <c r="H52" s="82">
        <v>80.63930257900472</v>
      </c>
      <c r="I52" s="97">
        <f t="shared" si="0"/>
        <v>1.2840213718716598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3">
        <f t="shared" si="0"/>
        <v>0</v>
      </c>
    </row>
    <row r="54" spans="1:15" hidden="1" x14ac:dyDescent="0.25">
      <c r="A54" s="57" t="s">
        <v>134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93">
        <f t="shared" si="0"/>
        <v>0</v>
      </c>
    </row>
    <row r="55" spans="1:15" hidden="1" x14ac:dyDescent="0.25">
      <c r="A55" s="59" t="s">
        <v>40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4">
        <f t="shared" si="0"/>
        <v>0</v>
      </c>
    </row>
    <row r="56" spans="1:15" hidden="1" x14ac:dyDescent="0.25">
      <c r="A56" s="57" t="s">
        <v>37</v>
      </c>
      <c r="B56" s="82">
        <v>73.055395049406712</v>
      </c>
      <c r="C56" s="82">
        <v>77.31354499342477</v>
      </c>
      <c r="D56" s="82">
        <v>81.471791231450496</v>
      </c>
      <c r="E56" s="82">
        <v>83.466287481002666</v>
      </c>
      <c r="F56" s="82">
        <v>77.391225361068223</v>
      </c>
      <c r="G56" s="82">
        <v>80.070425230604357</v>
      </c>
      <c r="H56" s="82">
        <v>81.04278601558201</v>
      </c>
      <c r="I56" s="84">
        <f t="shared" si="0"/>
        <v>0.97236078497765277</v>
      </c>
    </row>
    <row r="57" spans="1:15" ht="8.1" customHeight="1" x14ac:dyDescent="0.25"/>
    <row r="58" spans="1:15" ht="24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31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173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87">
        <f>$B$56</f>
        <v>6.9948257468689876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87">
        <f>$C$56</f>
        <v>6.7917765054328934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87">
        <f>$D$56</f>
        <v>6.5755004782569069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87">
        <f>$E$56</f>
        <v>6.4057953167104937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87">
        <f>$F$56</f>
        <v>6.120704312031398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87">
        <f>$G$56</f>
        <v>5.8798564325685589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87">
        <f>$H$56</f>
        <v>5.7563120080126753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-0.12354442455588366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174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3">
        <v>6.5570490550937626</v>
      </c>
      <c r="C19" s="83">
        <v>6.3505557982024996</v>
      </c>
      <c r="D19" s="83">
        <v>6.0882577939513638</v>
      </c>
      <c r="E19" s="83">
        <v>5.9105245041814802</v>
      </c>
      <c r="F19" s="83">
        <v>5.6535967416876058</v>
      </c>
      <c r="G19" s="83">
        <v>5.4474947551062112</v>
      </c>
      <c r="H19" s="83">
        <v>5.2914454964474098</v>
      </c>
      <c r="I19" s="98">
        <f>H19-G19</f>
        <v>-0.15604925865880137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3">
        <v>9.1136385920188268</v>
      </c>
      <c r="C20" s="83">
        <v>7.8840605842048328</v>
      </c>
      <c r="D20" s="83">
        <v>8.1956378056840702</v>
      </c>
      <c r="E20" s="83">
        <v>7.2356823678924282</v>
      </c>
      <c r="F20" s="83">
        <v>6.6299453200385976</v>
      </c>
      <c r="G20" s="83">
        <v>7.6600346020761236</v>
      </c>
      <c r="H20" s="83">
        <v>7.7459298326071995</v>
      </c>
      <c r="I20" s="97">
        <f t="shared" ref="I20:I56" si="0">H20-G20</f>
        <v>8.5895230531075839E-2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3">
        <v>6.8752258945423872</v>
      </c>
      <c r="C21" s="83">
        <v>6.1360552244970199</v>
      </c>
      <c r="D21" s="83">
        <v>6.2649358594451989</v>
      </c>
      <c r="E21" s="83">
        <v>6.6453104239092839</v>
      </c>
      <c r="F21" s="83">
        <v>5.2768363299238574</v>
      </c>
      <c r="G21" s="83">
        <v>5.8956202465250467</v>
      </c>
      <c r="H21" s="83">
        <v>5.8357973760158641</v>
      </c>
      <c r="I21" s="97">
        <f t="shared" si="0"/>
        <v>-5.9822870509182557E-2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3">
        <v>8.3204034134988358</v>
      </c>
      <c r="C22" s="83">
        <v>8.4134386599409918</v>
      </c>
      <c r="D22" s="83">
        <v>6.6336077844311374</v>
      </c>
      <c r="E22" s="83">
        <v>5.483549351944168</v>
      </c>
      <c r="F22" s="83">
        <v>5.9483726150392817</v>
      </c>
      <c r="G22" s="83">
        <v>4.7615083659369022</v>
      </c>
      <c r="H22" s="83">
        <v>5.6910569105691051</v>
      </c>
      <c r="I22" s="97">
        <f t="shared" si="0"/>
        <v>0.92954854463220293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3">
        <v>6.4599275070479258</v>
      </c>
      <c r="C23" s="83">
        <v>6.5043959622272869</v>
      </c>
      <c r="D23" s="83">
        <v>6.0729736348053214</v>
      </c>
      <c r="E23" s="83">
        <v>5.6629314883056328</v>
      </c>
      <c r="F23" s="83">
        <v>5.0842490842490848</v>
      </c>
      <c r="G23" s="83">
        <v>4.8390321935612874</v>
      </c>
      <c r="H23" s="83">
        <v>5.3842520747587885</v>
      </c>
      <c r="I23" s="97">
        <f t="shared" si="0"/>
        <v>0.54521988119750109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3">
        <v>3.386206086241335</v>
      </c>
      <c r="C24" s="83">
        <v>3.5830351381474745</v>
      </c>
      <c r="D24" s="83">
        <v>3.1853205179124635</v>
      </c>
      <c r="E24" s="83">
        <v>2.9963275005400734</v>
      </c>
      <c r="F24" s="83">
        <v>2.9708660759070393</v>
      </c>
      <c r="G24" s="83">
        <v>2.8626056119887631</v>
      </c>
      <c r="H24" s="83">
        <v>2.6881488356031338</v>
      </c>
      <c r="I24" s="97">
        <f t="shared" si="0"/>
        <v>-0.17445677638562929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3">
        <v>8.2495919450944921</v>
      </c>
      <c r="C25" s="83">
        <v>6.8172530371140923</v>
      </c>
      <c r="D25" s="83">
        <v>7.2966084351919038</v>
      </c>
      <c r="E25" s="83">
        <v>7.3509756749532214</v>
      </c>
      <c r="F25" s="83">
        <v>6.2808303644834194</v>
      </c>
      <c r="G25" s="83">
        <v>6.7877044760021574</v>
      </c>
      <c r="H25" s="83">
        <v>6.0804796075937873</v>
      </c>
      <c r="I25" s="97">
        <f t="shared" si="0"/>
        <v>-0.70722486840837018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3">
        <v>7.9731743666169894</v>
      </c>
      <c r="C26" s="83">
        <v>7.2993545103301489</v>
      </c>
      <c r="D26" s="83">
        <v>7.5536904468032589</v>
      </c>
      <c r="E26" s="83">
        <v>9.2700927009270089</v>
      </c>
      <c r="F26" s="83">
        <v>8.1256461582455302</v>
      </c>
      <c r="G26" s="83">
        <v>7.0258151725956939</v>
      </c>
      <c r="H26" s="83">
        <v>6.665657483096175</v>
      </c>
      <c r="I26" s="97">
        <f t="shared" si="0"/>
        <v>-0.36015768949951887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3">
        <v>8.8449751664377043</v>
      </c>
      <c r="C27" s="83">
        <v>9.1225314183123878</v>
      </c>
      <c r="D27" s="83">
        <v>9.9480236915266538</v>
      </c>
      <c r="E27" s="83">
        <v>9.1228432689327406</v>
      </c>
      <c r="F27" s="83">
        <v>8.5264408793820561</v>
      </c>
      <c r="G27" s="83">
        <v>6.3335742681604623</v>
      </c>
      <c r="H27" s="83">
        <v>7.5935509554140124</v>
      </c>
      <c r="I27" s="97">
        <f t="shared" si="0"/>
        <v>1.2599766872535501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3">
        <v>4.1300033699030214</v>
      </c>
      <c r="C28" s="83">
        <v>3.6342946552398567</v>
      </c>
      <c r="D28" s="83">
        <v>3.5722998640783468</v>
      </c>
      <c r="E28" s="83">
        <v>3.3359469669969348</v>
      </c>
      <c r="F28" s="83">
        <v>3.0314876679223826</v>
      </c>
      <c r="G28" s="83">
        <v>2.8614273472885299</v>
      </c>
      <c r="H28" s="83">
        <v>2.3044757627381136</v>
      </c>
      <c r="I28" s="97">
        <f t="shared" si="0"/>
        <v>-0.55695158455041627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3">
        <v>7.3935016460588168</v>
      </c>
      <c r="C29" s="83">
        <v>8.6937339259004176</v>
      </c>
      <c r="D29" s="83">
        <v>6.7518752257708075</v>
      </c>
      <c r="E29" s="83">
        <v>6.4496757146288735</v>
      </c>
      <c r="F29" s="83">
        <v>6.9195465421880513</v>
      </c>
      <c r="G29" s="83">
        <v>6.2495854612986674</v>
      </c>
      <c r="H29" s="83">
        <v>5.516840400348852</v>
      </c>
      <c r="I29" s="97">
        <f t="shared" si="0"/>
        <v>-0.7327450609498154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3">
        <v>4.7729332393515254</v>
      </c>
      <c r="C30" s="83">
        <v>4.7291681097180858</v>
      </c>
      <c r="D30" s="83">
        <v>4.4062565027398213</v>
      </c>
      <c r="E30" s="83">
        <v>4.174217135590526</v>
      </c>
      <c r="F30" s="83">
        <v>3.5442361636760316</v>
      </c>
      <c r="G30" s="83">
        <v>3.5847017190577013</v>
      </c>
      <c r="H30" s="83">
        <v>3.6370282372292793</v>
      </c>
      <c r="I30" s="97">
        <f t="shared" si="0"/>
        <v>5.2326518171577963E-2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3">
        <v>3.220417829654064</v>
      </c>
      <c r="C31" s="83">
        <v>3.5578039475866645</v>
      </c>
      <c r="D31" s="83">
        <v>2.8869466006560316</v>
      </c>
      <c r="E31" s="83">
        <v>3.2089038476248755</v>
      </c>
      <c r="F31" s="83">
        <v>2.9987326673624572</v>
      </c>
      <c r="G31" s="83">
        <v>2.6248833080119347</v>
      </c>
      <c r="H31" s="83">
        <v>2.6445573483706473</v>
      </c>
      <c r="I31" s="97">
        <f t="shared" si="0"/>
        <v>1.9674040358712563E-2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3">
        <v>5.718882414015658</v>
      </c>
      <c r="C32" s="83">
        <v>5.1232242545273001</v>
      </c>
      <c r="D32" s="83">
        <v>5.2167628768479943</v>
      </c>
      <c r="E32" s="83">
        <v>4.410152314348367</v>
      </c>
      <c r="F32" s="83">
        <v>4.2958399821872568</v>
      </c>
      <c r="G32" s="83">
        <v>4.2811915383508419</v>
      </c>
      <c r="H32" s="83">
        <v>4.0883347171154076</v>
      </c>
      <c r="I32" s="97">
        <f t="shared" si="0"/>
        <v>-0.19285682123543424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3">
        <v>8.0943323205125033</v>
      </c>
      <c r="C33" s="83">
        <v>7.8630130305074815</v>
      </c>
      <c r="D33" s="83">
        <v>7.6915125806541393</v>
      </c>
      <c r="E33" s="83">
        <v>7.4055585682323413</v>
      </c>
      <c r="F33" s="83">
        <v>7.1067102045432051</v>
      </c>
      <c r="G33" s="83">
        <v>6.4649158590806719</v>
      </c>
      <c r="H33" s="83">
        <v>6.8325762445023797</v>
      </c>
      <c r="I33" s="97">
        <f t="shared" si="0"/>
        <v>0.36766038542170776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3">
        <v>8.039670151206975</v>
      </c>
      <c r="C34" s="83">
        <v>7.5687305761415242</v>
      </c>
      <c r="D34" s="83">
        <v>7.2204523733673138</v>
      </c>
      <c r="E34" s="83">
        <v>6.3137480247090938</v>
      </c>
      <c r="F34" s="83">
        <v>6.4532811517226927</v>
      </c>
      <c r="G34" s="83">
        <v>6.4853289464354091</v>
      </c>
      <c r="H34" s="83">
        <v>6.7981979182849148</v>
      </c>
      <c r="I34" s="97">
        <f t="shared" si="0"/>
        <v>0.31286897184950568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3">
        <v>6.5521191294387178</v>
      </c>
      <c r="C35" s="83">
        <v>6.1783353568056114</v>
      </c>
      <c r="D35" s="83">
        <v>6.8344963440285804</v>
      </c>
      <c r="E35" s="83">
        <v>5.9311871598561012</v>
      </c>
      <c r="F35" s="83">
        <v>5.3681761039933669</v>
      </c>
      <c r="G35" s="83">
        <v>6.1280372655168076</v>
      </c>
      <c r="H35" s="83">
        <v>5.9280667951188182</v>
      </c>
      <c r="I35" s="97">
        <f t="shared" si="0"/>
        <v>-0.19997047039798943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3">
        <v>7.4024304744099085</v>
      </c>
      <c r="C36" s="83">
        <v>6.7625978005143068</v>
      </c>
      <c r="D36" s="83">
        <v>5.865086989006298</v>
      </c>
      <c r="E36" s="83">
        <v>6.185163437071834</v>
      </c>
      <c r="F36" s="83">
        <v>6.0495313440536584</v>
      </c>
      <c r="G36" s="83">
        <v>5.8203790734906775</v>
      </c>
      <c r="H36" s="83">
        <v>5.9274236458444189</v>
      </c>
      <c r="I36" s="97">
        <f t="shared" si="0"/>
        <v>0.10704457235374143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3">
        <v>10.273596462818761</v>
      </c>
      <c r="C37" s="83">
        <v>9.995078281921332</v>
      </c>
      <c r="D37" s="83">
        <v>10.05308873789293</v>
      </c>
      <c r="E37" s="83">
        <v>9.8653901526058156</v>
      </c>
      <c r="F37" s="83">
        <v>10.017095902498207</v>
      </c>
      <c r="G37" s="83">
        <v>9.2971799528252657</v>
      </c>
      <c r="H37" s="83">
        <v>8.2541955317849691</v>
      </c>
      <c r="I37" s="97">
        <f t="shared" si="0"/>
        <v>-1.0429844210402965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3">
        <v>2.8679091557185048</v>
      </c>
      <c r="C38" s="83">
        <v>2.8345710859641873</v>
      </c>
      <c r="D38" s="83">
        <v>2.8121507264889032</v>
      </c>
      <c r="E38" s="83">
        <v>2.582499039112689</v>
      </c>
      <c r="F38" s="83">
        <v>2.5010887824301622</v>
      </c>
      <c r="G38" s="83">
        <v>2.3225261951017551</v>
      </c>
      <c r="H38" s="83">
        <v>2.2838391037008803</v>
      </c>
      <c r="I38" s="97">
        <f t="shared" si="0"/>
        <v>-3.8687091400874785E-2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3">
        <v>4.3396226415094334</v>
      </c>
      <c r="C39" s="83">
        <v>4.7294687686527856</v>
      </c>
      <c r="D39" s="83">
        <v>5.096685082872928</v>
      </c>
      <c r="E39" s="83">
        <v>4.2041490728841566</v>
      </c>
      <c r="F39" s="83">
        <v>3.5554509065222515</v>
      </c>
      <c r="G39" s="83">
        <v>4.2387367811096626</v>
      </c>
      <c r="H39" s="83">
        <v>4.0348517630547924</v>
      </c>
      <c r="I39" s="97">
        <f t="shared" si="0"/>
        <v>-0.20388501805487014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3">
        <v>16.705935659265972</v>
      </c>
      <c r="C40" s="83">
        <v>16.647207627943182</v>
      </c>
      <c r="D40" s="83">
        <v>14.422977043731173</v>
      </c>
      <c r="E40" s="83">
        <v>15.510242613046351</v>
      </c>
      <c r="F40" s="83">
        <v>13.389948813401581</v>
      </c>
      <c r="G40" s="83">
        <v>12.881996974281392</v>
      </c>
      <c r="H40" s="83">
        <v>12.05175458803655</v>
      </c>
      <c r="I40" s="97">
        <f t="shared" si="0"/>
        <v>-0.83024238624484248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3">
        <v>4.8855369418674499</v>
      </c>
      <c r="C41" s="83">
        <v>4.780434831791136</v>
      </c>
      <c r="D41" s="83">
        <v>4.7015544738790069</v>
      </c>
      <c r="E41" s="83">
        <v>4.6101390391800567</v>
      </c>
      <c r="F41" s="83">
        <v>4.5298558682223744</v>
      </c>
      <c r="G41" s="83">
        <v>3.9713352374762692</v>
      </c>
      <c r="H41" s="83">
        <v>3.3740668869425359</v>
      </c>
      <c r="I41" s="97">
        <f t="shared" si="0"/>
        <v>-0.59726835053373328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3">
        <v>8.6934429126899975</v>
      </c>
      <c r="C42" s="83">
        <v>7.8867884676312174</v>
      </c>
      <c r="D42" s="83">
        <v>7.1109535625664657</v>
      </c>
      <c r="E42" s="83">
        <v>7.0457145278142601</v>
      </c>
      <c r="F42" s="83">
        <v>6.8759033656824284</v>
      </c>
      <c r="G42" s="83">
        <v>7.2120440582277086</v>
      </c>
      <c r="H42" s="83">
        <v>6.3706417859706113</v>
      </c>
      <c r="I42" s="97">
        <f t="shared" si="0"/>
        <v>-0.84140227225709729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3">
        <v>12.13355434525219</v>
      </c>
      <c r="C43" s="83">
        <v>11.737720308965988</v>
      </c>
      <c r="D43" s="83">
        <v>12.047631155182643</v>
      </c>
      <c r="E43" s="83">
        <v>13.097401225438411</v>
      </c>
      <c r="F43" s="83">
        <v>11.985500467726848</v>
      </c>
      <c r="G43" s="83">
        <v>12.796885677013231</v>
      </c>
      <c r="H43" s="83">
        <v>12.595419847328243</v>
      </c>
      <c r="I43" s="97">
        <f t="shared" si="0"/>
        <v>-0.20146582968498805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3">
        <v>6.0119532735669656</v>
      </c>
      <c r="C44" s="83">
        <v>5.9016035780517067</v>
      </c>
      <c r="D44" s="83">
        <v>5.8281216303644596</v>
      </c>
      <c r="E44" s="83">
        <v>5.3210109920884969</v>
      </c>
      <c r="F44" s="83">
        <v>5.0827850480803987</v>
      </c>
      <c r="G44" s="83">
        <v>5.471908718839142</v>
      </c>
      <c r="H44" s="83">
        <v>4.9960022290601609</v>
      </c>
      <c r="I44" s="97">
        <f t="shared" si="0"/>
        <v>-0.47590648977898109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3">
        <v>8.988057825267127</v>
      </c>
      <c r="C45" s="83">
        <v>8.0028110862212856</v>
      </c>
      <c r="D45" s="83">
        <v>7.7714816946301291</v>
      </c>
      <c r="E45" s="83">
        <v>6.5301347989156673</v>
      </c>
      <c r="F45" s="83">
        <v>6.3795183883321966</v>
      </c>
      <c r="G45" s="83">
        <v>6.0720640569395012</v>
      </c>
      <c r="H45" s="83">
        <v>6.2109740867936312</v>
      </c>
      <c r="I45" s="97">
        <f t="shared" si="0"/>
        <v>0.13891002985412992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3">
        <v>5.7749837415998266</v>
      </c>
      <c r="C46" s="83">
        <v>6.0761311946372993</v>
      </c>
      <c r="D46" s="83">
        <v>5.9121866396174472</v>
      </c>
      <c r="E46" s="83">
        <v>5.35764507359145</v>
      </c>
      <c r="F46" s="83">
        <v>5.4315051748023802</v>
      </c>
      <c r="G46" s="83">
        <v>5.5691502826765671</v>
      </c>
      <c r="H46" s="83">
        <v>5.0862930922053646</v>
      </c>
      <c r="I46" s="97">
        <f t="shared" si="0"/>
        <v>-0.48285719047120246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3">
        <v>3.0928866108263531</v>
      </c>
      <c r="C47" s="83">
        <v>2.8018754488891755</v>
      </c>
      <c r="D47" s="83">
        <v>2.7403641186780567</v>
      </c>
      <c r="E47" s="83">
        <v>2.8214113098115035</v>
      </c>
      <c r="F47" s="83">
        <v>2.479273475081432</v>
      </c>
      <c r="G47" s="83">
        <v>2.3641254283503446</v>
      </c>
      <c r="H47" s="83">
        <v>2.4981715121594439</v>
      </c>
      <c r="I47" s="97">
        <f t="shared" si="0"/>
        <v>0.13404608380909933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3">
        <v>5.8762815660909657</v>
      </c>
      <c r="C48" s="83">
        <v>6.2263257575757578</v>
      </c>
      <c r="D48" s="83">
        <v>5.9015099180894106</v>
      </c>
      <c r="E48" s="83">
        <v>6.1963528001813879</v>
      </c>
      <c r="F48" s="83">
        <v>6.1632075187516939</v>
      </c>
      <c r="G48" s="83">
        <v>5.6355047786444024</v>
      </c>
      <c r="H48" s="83">
        <v>5.3418505397640104</v>
      </c>
      <c r="I48" s="97">
        <f t="shared" si="0"/>
        <v>-0.29365423888039199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3">
        <v>3.248898678414097</v>
      </c>
      <c r="C49" s="83">
        <v>3.054919908466819</v>
      </c>
      <c r="D49" s="83">
        <v>2.6074885570646056</v>
      </c>
      <c r="E49" s="83">
        <v>3.0175085218469166</v>
      </c>
      <c r="F49" s="83">
        <v>2.447459430699654</v>
      </c>
      <c r="G49" s="83">
        <v>2.3651844843897827</v>
      </c>
      <c r="H49" s="83">
        <v>2.3175708562656783</v>
      </c>
      <c r="I49" s="97">
        <f t="shared" si="0"/>
        <v>-4.7613628124104412E-2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93">
        <v>10.573403197194509</v>
      </c>
      <c r="C50" s="93">
        <v>10.523030183221833</v>
      </c>
      <c r="D50" s="93">
        <v>10.735212997366805</v>
      </c>
      <c r="E50" s="93">
        <v>10.538132323019715</v>
      </c>
      <c r="F50" s="93">
        <v>10.213374724165014</v>
      </c>
      <c r="G50" s="93">
        <v>9.7069546356546219</v>
      </c>
      <c r="H50" s="93">
        <v>9.8860802349922992</v>
      </c>
      <c r="I50" s="96">
        <f t="shared" si="0"/>
        <v>0.17912559933767724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3">
        <v>13.750373818159511</v>
      </c>
      <c r="C51" s="83">
        <v>13.865389400348347</v>
      </c>
      <c r="D51" s="83">
        <v>14.366602537030953</v>
      </c>
      <c r="E51" s="83">
        <v>13.353312239532814</v>
      </c>
      <c r="F51" s="83">
        <v>12.972527030290024</v>
      </c>
      <c r="G51" s="83">
        <v>12.991699747383617</v>
      </c>
      <c r="H51" s="83">
        <v>12.871376622654235</v>
      </c>
      <c r="I51" s="97">
        <f t="shared" si="0"/>
        <v>-0.12032312472938145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3">
        <v>4.1633789742399623</v>
      </c>
      <c r="C52" s="83">
        <v>3.7662296834229307</v>
      </c>
      <c r="D52" s="83">
        <v>3.5134378499440087</v>
      </c>
      <c r="E52" s="83">
        <v>3.9935307290370736</v>
      </c>
      <c r="F52" s="83">
        <v>3.8655021294981795</v>
      </c>
      <c r="G52" s="83">
        <v>3.1874156312846083</v>
      </c>
      <c r="H52" s="83">
        <v>3.3694563336672436</v>
      </c>
      <c r="I52" s="97">
        <f t="shared" si="0"/>
        <v>0.18204070238263537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f t="shared" si="0"/>
        <v>0</v>
      </c>
    </row>
    <row r="54" spans="1:15" hidden="1" x14ac:dyDescent="0.25">
      <c r="A54" s="57" t="s">
        <v>134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93">
        <f t="shared" si="0"/>
        <v>0</v>
      </c>
    </row>
    <row r="55" spans="1:15" hidden="1" x14ac:dyDescent="0.25">
      <c r="A55" s="59" t="s">
        <v>40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4">
        <f t="shared" si="0"/>
        <v>0</v>
      </c>
    </row>
    <row r="56" spans="1:15" hidden="1" x14ac:dyDescent="0.25">
      <c r="A56" s="57" t="s">
        <v>37</v>
      </c>
      <c r="B56" s="83">
        <v>6.9948257468689876</v>
      </c>
      <c r="C56" s="83">
        <v>6.7917765054328934</v>
      </c>
      <c r="D56" s="83">
        <v>6.5755004782569069</v>
      </c>
      <c r="E56" s="83">
        <v>6.4057953167104937</v>
      </c>
      <c r="F56" s="83">
        <v>6.120704312031398</v>
      </c>
      <c r="G56" s="83">
        <v>5.8798564325685589</v>
      </c>
      <c r="H56" s="83">
        <v>5.7563120080126753</v>
      </c>
      <c r="I56" s="84">
        <f t="shared" si="0"/>
        <v>-0.12354442455588366</v>
      </c>
    </row>
    <row r="57" spans="1:15" ht="8.1" customHeight="1" x14ac:dyDescent="0.25"/>
    <row r="58" spans="1:15" ht="24" customHeight="1" x14ac:dyDescent="0.25">
      <c r="A58" s="99" t="s">
        <v>167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opLeftCell="A4" zoomScale="120" zoomScaleNormal="120" workbookViewId="0">
      <selection activeCell="A6" sqref="A6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258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0">
        <f>$B$56</f>
        <v>303955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0">
        <f>$C$56</f>
        <v>303464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0">
        <f>$D$56</f>
        <v>301751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0">
        <f>$E$56</f>
        <v>305246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0">
        <f>$F$56</f>
        <v>307921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0">
        <f>$G$56</f>
        <v>311816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0">
        <f>$H$56</f>
        <v>307859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110">
        <f>B14-B13</f>
        <v>-3957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175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58">
        <v>253532</v>
      </c>
      <c r="C19" s="58">
        <v>254053</v>
      </c>
      <c r="D19" s="58">
        <v>252337</v>
      </c>
      <c r="E19" s="58">
        <v>254373</v>
      </c>
      <c r="F19" s="58">
        <v>257010</v>
      </c>
      <c r="G19" s="58">
        <v>261224</v>
      </c>
      <c r="H19" s="58">
        <v>257583</v>
      </c>
      <c r="I19" s="111">
        <f>H19-G19</f>
        <v>-3641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58">
        <v>4876</v>
      </c>
      <c r="C20" s="58">
        <v>4724</v>
      </c>
      <c r="D20" s="58">
        <v>4702</v>
      </c>
      <c r="E20" s="58">
        <v>4664</v>
      </c>
      <c r="F20" s="58">
        <v>4628</v>
      </c>
      <c r="G20" s="58">
        <v>4662</v>
      </c>
      <c r="H20" s="58">
        <v>4691</v>
      </c>
      <c r="I20" s="60">
        <f t="shared" ref="I20:I56" si="0">H20-G20</f>
        <v>29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58">
        <v>8368</v>
      </c>
      <c r="C21" s="58">
        <v>7923</v>
      </c>
      <c r="D21" s="58">
        <v>8064</v>
      </c>
      <c r="E21" s="58">
        <v>8256</v>
      </c>
      <c r="F21" s="58">
        <v>8090</v>
      </c>
      <c r="G21" s="58">
        <v>8249</v>
      </c>
      <c r="H21" s="58">
        <v>8462</v>
      </c>
      <c r="I21" s="60">
        <f t="shared" si="0"/>
        <v>213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58">
        <v>1902</v>
      </c>
      <c r="C22" s="58">
        <v>2058</v>
      </c>
      <c r="D22" s="58">
        <v>1962</v>
      </c>
      <c r="E22" s="58">
        <v>1875</v>
      </c>
      <c r="F22" s="58">
        <v>1878</v>
      </c>
      <c r="G22" s="58">
        <v>1664</v>
      </c>
      <c r="H22" s="58">
        <v>1697</v>
      </c>
      <c r="I22" s="60">
        <f t="shared" si="0"/>
        <v>33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58">
        <v>1864</v>
      </c>
      <c r="C23" s="58">
        <v>1930</v>
      </c>
      <c r="D23" s="58">
        <v>1918</v>
      </c>
      <c r="E23" s="58">
        <v>1890</v>
      </c>
      <c r="F23" s="58">
        <v>1835</v>
      </c>
      <c r="G23" s="58">
        <v>1809</v>
      </c>
      <c r="H23" s="58">
        <v>1896</v>
      </c>
      <c r="I23" s="60">
        <f t="shared" si="0"/>
        <v>87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58">
        <v>7730</v>
      </c>
      <c r="C24" s="58">
        <v>7916</v>
      </c>
      <c r="D24" s="58">
        <v>7561</v>
      </c>
      <c r="E24" s="58">
        <v>7432</v>
      </c>
      <c r="F24" s="58">
        <v>7553</v>
      </c>
      <c r="G24" s="58">
        <v>7408</v>
      </c>
      <c r="H24" s="58">
        <v>7012</v>
      </c>
      <c r="I24" s="60">
        <f t="shared" si="0"/>
        <v>-396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58">
        <v>9183</v>
      </c>
      <c r="C25" s="58">
        <v>9072</v>
      </c>
      <c r="D25" s="58">
        <v>9728</v>
      </c>
      <c r="E25" s="58">
        <v>9712</v>
      </c>
      <c r="F25" s="58">
        <v>9095</v>
      </c>
      <c r="G25" s="58">
        <v>9203</v>
      </c>
      <c r="H25" s="58">
        <v>8573</v>
      </c>
      <c r="I25" s="60">
        <f t="shared" si="0"/>
        <v>-630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58">
        <v>8071</v>
      </c>
      <c r="C26" s="58">
        <v>7891</v>
      </c>
      <c r="D26" s="58">
        <v>7918</v>
      </c>
      <c r="E26" s="58">
        <v>8924</v>
      </c>
      <c r="F26" s="58">
        <v>9358</v>
      </c>
      <c r="G26" s="58">
        <v>10066</v>
      </c>
      <c r="H26" s="58">
        <v>10398</v>
      </c>
      <c r="I26" s="60">
        <f t="shared" si="0"/>
        <v>332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58">
        <v>1864</v>
      </c>
      <c r="C27" s="58">
        <v>1883</v>
      </c>
      <c r="D27" s="58">
        <v>1906</v>
      </c>
      <c r="E27" s="58">
        <v>1904</v>
      </c>
      <c r="F27" s="58">
        <v>1986</v>
      </c>
      <c r="G27" s="58">
        <v>1866</v>
      </c>
      <c r="H27" s="58">
        <v>1891</v>
      </c>
      <c r="I27" s="60">
        <f t="shared" si="0"/>
        <v>25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58">
        <v>2386</v>
      </c>
      <c r="C28" s="58">
        <v>2413</v>
      </c>
      <c r="D28" s="58">
        <v>2483</v>
      </c>
      <c r="E28" s="58">
        <v>2338</v>
      </c>
      <c r="F28" s="58">
        <v>2142</v>
      </c>
      <c r="G28" s="58">
        <v>2067</v>
      </c>
      <c r="H28" s="58">
        <v>1930</v>
      </c>
      <c r="I28" s="60">
        <f t="shared" si="0"/>
        <v>-137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58">
        <v>16619</v>
      </c>
      <c r="C29" s="58">
        <v>18280</v>
      </c>
      <c r="D29" s="58">
        <v>17733</v>
      </c>
      <c r="E29" s="58">
        <v>17490</v>
      </c>
      <c r="F29" s="58">
        <v>17266</v>
      </c>
      <c r="G29" s="58">
        <v>18067</v>
      </c>
      <c r="H29" s="58">
        <v>18132</v>
      </c>
      <c r="I29" s="60">
        <f t="shared" si="0"/>
        <v>65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58">
        <v>7047</v>
      </c>
      <c r="C30" s="58">
        <v>6996</v>
      </c>
      <c r="D30" s="58">
        <v>6743</v>
      </c>
      <c r="E30" s="58">
        <v>6612</v>
      </c>
      <c r="F30" s="58">
        <v>6290</v>
      </c>
      <c r="G30" s="58">
        <v>6152</v>
      </c>
      <c r="H30" s="58">
        <v>6134</v>
      </c>
      <c r="I30" s="60">
        <f t="shared" si="0"/>
        <v>-18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58">
        <v>3690</v>
      </c>
      <c r="C31" s="58">
        <v>3924</v>
      </c>
      <c r="D31" s="58">
        <v>3498</v>
      </c>
      <c r="E31" s="58">
        <v>3713</v>
      </c>
      <c r="F31" s="58">
        <v>3715</v>
      </c>
      <c r="G31" s="58">
        <v>3648</v>
      </c>
      <c r="H31" s="58">
        <v>3519</v>
      </c>
      <c r="I31" s="60">
        <f t="shared" si="0"/>
        <v>-129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58">
        <v>15407</v>
      </c>
      <c r="C32" s="58">
        <v>14705</v>
      </c>
      <c r="D32" s="58">
        <v>14848</v>
      </c>
      <c r="E32" s="58">
        <v>14614</v>
      </c>
      <c r="F32" s="58">
        <v>14712</v>
      </c>
      <c r="G32" s="58">
        <v>14856</v>
      </c>
      <c r="H32" s="58">
        <v>14341</v>
      </c>
      <c r="I32" s="60">
        <f t="shared" si="0"/>
        <v>-515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58">
        <v>48217</v>
      </c>
      <c r="C33" s="58">
        <v>47473</v>
      </c>
      <c r="D33" s="58">
        <v>46706</v>
      </c>
      <c r="E33" s="58">
        <v>47574</v>
      </c>
      <c r="F33" s="58">
        <v>48274</v>
      </c>
      <c r="G33" s="58">
        <v>48591</v>
      </c>
      <c r="H33" s="58">
        <v>47926</v>
      </c>
      <c r="I33" s="60">
        <f t="shared" si="0"/>
        <v>-665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58">
        <v>12293</v>
      </c>
      <c r="C34" s="58">
        <v>11807</v>
      </c>
      <c r="D34" s="58">
        <v>11679</v>
      </c>
      <c r="E34" s="58">
        <v>11182</v>
      </c>
      <c r="F34" s="58">
        <v>11186</v>
      </c>
      <c r="G34" s="58">
        <v>11181</v>
      </c>
      <c r="H34" s="58">
        <v>11087</v>
      </c>
      <c r="I34" s="60">
        <f t="shared" si="0"/>
        <v>-94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58">
        <v>5012</v>
      </c>
      <c r="C35" s="58">
        <v>4693</v>
      </c>
      <c r="D35" s="58">
        <v>4787</v>
      </c>
      <c r="E35" s="58">
        <v>4599</v>
      </c>
      <c r="F35" s="58">
        <v>4719</v>
      </c>
      <c r="G35" s="58">
        <v>4697</v>
      </c>
      <c r="H35" s="58">
        <v>4640</v>
      </c>
      <c r="I35" s="60">
        <f t="shared" si="0"/>
        <v>-57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58">
        <v>3043</v>
      </c>
      <c r="C36" s="58">
        <v>3037</v>
      </c>
      <c r="D36" s="58">
        <v>2901</v>
      </c>
      <c r="E36" s="58">
        <v>3019</v>
      </c>
      <c r="F36" s="58">
        <v>3195</v>
      </c>
      <c r="G36" s="58">
        <v>3065</v>
      </c>
      <c r="H36" s="58">
        <v>2794</v>
      </c>
      <c r="I36" s="60">
        <f t="shared" si="0"/>
        <v>-271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58">
        <v>16396</v>
      </c>
      <c r="C37" s="58">
        <v>17191</v>
      </c>
      <c r="D37" s="58">
        <v>17771</v>
      </c>
      <c r="E37" s="58">
        <v>18667</v>
      </c>
      <c r="F37" s="58">
        <v>20067</v>
      </c>
      <c r="G37" s="58">
        <v>21351</v>
      </c>
      <c r="H37" s="58">
        <v>21326</v>
      </c>
      <c r="I37" s="60">
        <f t="shared" si="0"/>
        <v>-25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58">
        <v>7539</v>
      </c>
      <c r="C38" s="58">
        <v>7277</v>
      </c>
      <c r="D38" s="58">
        <v>7170</v>
      </c>
      <c r="E38" s="58">
        <v>7128</v>
      </c>
      <c r="F38" s="58">
        <v>7260</v>
      </c>
      <c r="G38" s="58">
        <v>7439</v>
      </c>
      <c r="H38" s="58">
        <v>7310</v>
      </c>
      <c r="I38" s="60">
        <f t="shared" si="0"/>
        <v>-129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58">
        <v>3014</v>
      </c>
      <c r="C39" s="58">
        <v>3224</v>
      </c>
      <c r="D39" s="58">
        <v>3442</v>
      </c>
      <c r="E39" s="58">
        <v>3482</v>
      </c>
      <c r="F39" s="58">
        <v>3418</v>
      </c>
      <c r="G39" s="58">
        <v>3418</v>
      </c>
      <c r="H39" s="58">
        <v>3473</v>
      </c>
      <c r="I39" s="60">
        <f t="shared" si="0"/>
        <v>55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58">
        <v>8685</v>
      </c>
      <c r="C40" s="58">
        <v>8835</v>
      </c>
      <c r="D40" s="58">
        <v>8119</v>
      </c>
      <c r="E40" s="58">
        <v>8052</v>
      </c>
      <c r="F40" s="58">
        <v>8129</v>
      </c>
      <c r="G40" s="58">
        <v>8622</v>
      </c>
      <c r="H40" s="58">
        <v>8590</v>
      </c>
      <c r="I40" s="60">
        <f t="shared" si="0"/>
        <v>-32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58">
        <v>5478</v>
      </c>
      <c r="C41" s="58">
        <v>5373</v>
      </c>
      <c r="D41" s="58">
        <v>5248</v>
      </c>
      <c r="E41" s="58">
        <v>5220</v>
      </c>
      <c r="F41" s="58">
        <v>5400</v>
      </c>
      <c r="G41" s="58">
        <v>5729</v>
      </c>
      <c r="H41" s="58">
        <v>5259</v>
      </c>
      <c r="I41" s="60">
        <f t="shared" si="0"/>
        <v>-470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58">
        <v>9564</v>
      </c>
      <c r="C42" s="58">
        <v>9306</v>
      </c>
      <c r="D42" s="58">
        <v>8710</v>
      </c>
      <c r="E42" s="58">
        <v>8506</v>
      </c>
      <c r="F42" s="58">
        <v>7854</v>
      </c>
      <c r="G42" s="58">
        <v>8577</v>
      </c>
      <c r="H42" s="58">
        <v>8604</v>
      </c>
      <c r="I42" s="60">
        <f t="shared" si="0"/>
        <v>27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58">
        <v>12561</v>
      </c>
      <c r="C43" s="58">
        <v>12900</v>
      </c>
      <c r="D43" s="58">
        <v>13206</v>
      </c>
      <c r="E43" s="58">
        <v>14044</v>
      </c>
      <c r="F43" s="58">
        <v>15385</v>
      </c>
      <c r="G43" s="58">
        <v>15277</v>
      </c>
      <c r="H43" s="58">
        <v>14826</v>
      </c>
      <c r="I43" s="60">
        <f t="shared" si="0"/>
        <v>-451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58">
        <v>5305</v>
      </c>
      <c r="C44" s="58">
        <v>5452</v>
      </c>
      <c r="D44" s="58">
        <v>5650</v>
      </c>
      <c r="E44" s="58">
        <v>5739</v>
      </c>
      <c r="F44" s="58">
        <v>5584</v>
      </c>
      <c r="G44" s="58">
        <v>5685</v>
      </c>
      <c r="H44" s="58">
        <v>5608</v>
      </c>
      <c r="I44" s="60">
        <f t="shared" si="0"/>
        <v>-77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58">
        <v>8923</v>
      </c>
      <c r="C45" s="58">
        <v>9144</v>
      </c>
      <c r="D45" s="58">
        <v>9281</v>
      </c>
      <c r="E45" s="58">
        <v>9004</v>
      </c>
      <c r="F45" s="58">
        <v>8929</v>
      </c>
      <c r="G45" s="58">
        <v>8707</v>
      </c>
      <c r="H45" s="58">
        <v>8533</v>
      </c>
      <c r="I45" s="60">
        <f t="shared" si="0"/>
        <v>-174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58">
        <v>3109</v>
      </c>
      <c r="C46" s="58">
        <v>3098</v>
      </c>
      <c r="D46" s="58">
        <v>3081</v>
      </c>
      <c r="E46" s="58">
        <v>2848</v>
      </c>
      <c r="F46" s="58">
        <v>3036</v>
      </c>
      <c r="G46" s="58">
        <v>3243</v>
      </c>
      <c r="H46" s="58">
        <v>3232</v>
      </c>
      <c r="I46" s="60">
        <f t="shared" si="0"/>
        <v>-11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58">
        <v>9255</v>
      </c>
      <c r="C47" s="58">
        <v>9096</v>
      </c>
      <c r="D47" s="58">
        <v>9124</v>
      </c>
      <c r="E47" s="58">
        <v>9327</v>
      </c>
      <c r="F47" s="58">
        <v>9302</v>
      </c>
      <c r="G47" s="58">
        <v>9115</v>
      </c>
      <c r="H47" s="58">
        <v>8858</v>
      </c>
      <c r="I47" s="60">
        <f t="shared" si="0"/>
        <v>-257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58">
        <v>4409</v>
      </c>
      <c r="C48" s="58">
        <v>4673</v>
      </c>
      <c r="D48" s="58">
        <v>4704</v>
      </c>
      <c r="E48" s="58">
        <v>4839</v>
      </c>
      <c r="F48" s="58">
        <v>5114</v>
      </c>
      <c r="G48" s="58">
        <v>5258</v>
      </c>
      <c r="H48" s="58">
        <v>5303</v>
      </c>
      <c r="I48" s="60">
        <f t="shared" si="0"/>
        <v>45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58">
        <v>1722</v>
      </c>
      <c r="C49" s="58">
        <v>1759</v>
      </c>
      <c r="D49" s="58">
        <v>1694</v>
      </c>
      <c r="E49" s="58">
        <v>1719</v>
      </c>
      <c r="F49" s="58">
        <v>1610</v>
      </c>
      <c r="G49" s="58">
        <v>1552</v>
      </c>
      <c r="H49" s="58">
        <v>1538</v>
      </c>
      <c r="I49" s="60">
        <f t="shared" si="0"/>
        <v>-14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102">
        <v>50423</v>
      </c>
      <c r="C50" s="102">
        <v>49411</v>
      </c>
      <c r="D50" s="102">
        <v>49414</v>
      </c>
      <c r="E50" s="102">
        <v>50873</v>
      </c>
      <c r="F50" s="102">
        <v>50911</v>
      </c>
      <c r="G50" s="102">
        <v>50592</v>
      </c>
      <c r="H50" s="102">
        <v>50276</v>
      </c>
      <c r="I50" s="112">
        <f t="shared" si="0"/>
        <v>-316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58">
        <v>43673</v>
      </c>
      <c r="C51" s="58">
        <v>42808</v>
      </c>
      <c r="D51" s="58">
        <v>43160</v>
      </c>
      <c r="E51" s="58">
        <v>44572</v>
      </c>
      <c r="F51" s="58">
        <v>44532</v>
      </c>
      <c r="G51" s="58">
        <v>44212</v>
      </c>
      <c r="H51" s="58">
        <v>44161</v>
      </c>
      <c r="I51" s="60">
        <f t="shared" si="0"/>
        <v>-51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58">
        <v>6750</v>
      </c>
      <c r="C52" s="58">
        <v>6603</v>
      </c>
      <c r="D52" s="58">
        <v>6254</v>
      </c>
      <c r="E52" s="58">
        <v>6301</v>
      </c>
      <c r="F52" s="58">
        <v>6379</v>
      </c>
      <c r="G52" s="58">
        <v>6380</v>
      </c>
      <c r="H52" s="58">
        <v>6115</v>
      </c>
      <c r="I52" s="60">
        <f t="shared" si="0"/>
        <v>-265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83">
        <f t="shared" si="0"/>
        <v>0</v>
      </c>
    </row>
    <row r="54" spans="1:15" hidden="1" x14ac:dyDescent="0.25">
      <c r="A54" s="57" t="s">
        <v>134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3">
        <f t="shared" si="0"/>
        <v>0</v>
      </c>
    </row>
    <row r="55" spans="1:15" hidden="1" x14ac:dyDescent="0.25">
      <c r="A55" s="59" t="s">
        <v>40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84">
        <f t="shared" si="0"/>
        <v>0</v>
      </c>
    </row>
    <row r="56" spans="1:15" hidden="1" x14ac:dyDescent="0.25">
      <c r="A56" s="57" t="s">
        <v>37</v>
      </c>
      <c r="B56" s="58">
        <v>303955</v>
      </c>
      <c r="C56" s="58">
        <v>303464</v>
      </c>
      <c r="D56" s="58">
        <v>301751</v>
      </c>
      <c r="E56" s="58">
        <v>305246</v>
      </c>
      <c r="F56" s="58">
        <v>307921</v>
      </c>
      <c r="G56" s="58">
        <v>311816</v>
      </c>
      <c r="H56" s="58">
        <v>307859</v>
      </c>
      <c r="I56" s="84">
        <f t="shared" si="0"/>
        <v>-3957</v>
      </c>
    </row>
    <row r="57" spans="1:15" ht="8.1" customHeight="1" x14ac:dyDescent="0.25"/>
    <row r="58" spans="1:15" ht="24" customHeight="1" x14ac:dyDescent="0.25">
      <c r="A58" s="99" t="s">
        <v>167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0.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177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162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6">
        <f>$B$56</f>
        <v>83.984029619805483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6">
        <f>$C$56</f>
        <v>79.092994161801499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6">
        <f>$D$56</f>
        <v>78.466559184522566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6">
        <f>$E$56</f>
        <v>79.375390056168101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6">
        <f>$F$56</f>
        <v>74.391428295322768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6">
        <f>$G$56</f>
        <v>75.085725293777699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6">
        <f>$H$56</f>
        <v>73.271848819497336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-1.813876474280363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176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81.70018045888115</v>
      </c>
      <c r="C19" s="84">
        <v>76.614294330518689</v>
      </c>
      <c r="D19" s="84">
        <v>75.913658243080633</v>
      </c>
      <c r="E19" s="84">
        <v>76.526173285198553</v>
      </c>
      <c r="F19" s="84">
        <v>71.886887446856122</v>
      </c>
      <c r="G19" s="84">
        <v>72.804905239687841</v>
      </c>
      <c r="H19" s="84">
        <v>70.749011206328277</v>
      </c>
      <c r="I19" s="119">
        <f>H19-G19</f>
        <v>-2.0558940333595643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101.58333333333334</v>
      </c>
      <c r="C20" s="84">
        <v>70.297619047619037</v>
      </c>
      <c r="D20" s="84">
        <v>69.970238095238088</v>
      </c>
      <c r="E20" s="84">
        <v>69.404761904761898</v>
      </c>
      <c r="F20" s="84">
        <v>63.571428571428569</v>
      </c>
      <c r="G20" s="84">
        <v>64.75</v>
      </c>
      <c r="H20" s="84">
        <v>69.80654761904762</v>
      </c>
      <c r="I20" s="120">
        <f t="shared" ref="I20:I56" si="0">H20-G20</f>
        <v>5.0565476190476204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87.899159663865547</v>
      </c>
      <c r="C21" s="84">
        <v>83.930084745762713</v>
      </c>
      <c r="D21" s="84">
        <v>85.423728813559322</v>
      </c>
      <c r="E21" s="84">
        <v>87.457627118644069</v>
      </c>
      <c r="F21" s="84">
        <v>82.215447154471548</v>
      </c>
      <c r="G21" s="84">
        <v>83.831300813008127</v>
      </c>
      <c r="H21" s="84">
        <v>84.61999999999999</v>
      </c>
      <c r="I21" s="120">
        <f t="shared" si="0"/>
        <v>0.78869918699186314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81.982758620689651</v>
      </c>
      <c r="C22" s="84">
        <v>88.706896551724128</v>
      </c>
      <c r="D22" s="84">
        <v>144.26470588235293</v>
      </c>
      <c r="E22" s="84">
        <v>137.86764705882354</v>
      </c>
      <c r="F22" s="84">
        <v>130.41666666666666</v>
      </c>
      <c r="G22" s="84">
        <v>115.55555555555554</v>
      </c>
      <c r="H22" s="84">
        <v>117.84722222222221</v>
      </c>
      <c r="I22" s="120">
        <f t="shared" si="0"/>
        <v>2.2916666666666714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62.972972972972975</v>
      </c>
      <c r="C23" s="84">
        <v>67.013888888888886</v>
      </c>
      <c r="D23" s="84">
        <v>63.09210526315789</v>
      </c>
      <c r="E23" s="84">
        <v>62.171052631578952</v>
      </c>
      <c r="F23" s="84">
        <v>57.343750000000007</v>
      </c>
      <c r="G23" s="84">
        <v>56.53125</v>
      </c>
      <c r="H23" s="84">
        <v>57.804878048780481</v>
      </c>
      <c r="I23" s="120">
        <f t="shared" si="0"/>
        <v>1.2736280487804805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81.885593220338976</v>
      </c>
      <c r="C24" s="84">
        <v>69.1958041958042</v>
      </c>
      <c r="D24" s="84">
        <v>63.859797297297291</v>
      </c>
      <c r="E24" s="84">
        <v>62.770270270270267</v>
      </c>
      <c r="F24" s="84">
        <v>56.534431137724553</v>
      </c>
      <c r="G24" s="84">
        <v>55.449101796407184</v>
      </c>
      <c r="H24" s="84">
        <v>54.440993788819881</v>
      </c>
      <c r="I24" s="120">
        <f t="shared" si="0"/>
        <v>-1.0081080075873032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84.402573529411768</v>
      </c>
      <c r="C25" s="84">
        <v>79.300699300699293</v>
      </c>
      <c r="D25" s="84">
        <v>78.961038961038966</v>
      </c>
      <c r="E25" s="84">
        <v>78.831168831168824</v>
      </c>
      <c r="F25" s="84">
        <v>72.412420382165607</v>
      </c>
      <c r="G25" s="84">
        <v>73.272292993630572</v>
      </c>
      <c r="H25" s="84">
        <v>70.040849673202615</v>
      </c>
      <c r="I25" s="120">
        <f t="shared" si="0"/>
        <v>-3.2314433204279567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75.85526315789474</v>
      </c>
      <c r="C26" s="84">
        <v>74.725378787878796</v>
      </c>
      <c r="D26" s="84">
        <v>78.551587301587304</v>
      </c>
      <c r="E26" s="84">
        <v>88.531746031746025</v>
      </c>
      <c r="F26" s="84">
        <v>87.294776119402982</v>
      </c>
      <c r="G26" s="84">
        <v>93.899253731343279</v>
      </c>
      <c r="H26" s="84">
        <v>96.996268656716424</v>
      </c>
      <c r="I26" s="120">
        <f t="shared" si="0"/>
        <v>3.0970149253731449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70.606060606060609</v>
      </c>
      <c r="C27" s="84">
        <v>57.408536585365852</v>
      </c>
      <c r="D27" s="84">
        <v>58.109756097560975</v>
      </c>
      <c r="E27" s="84">
        <v>58.048780487804876</v>
      </c>
      <c r="F27" s="84">
        <v>51.71875</v>
      </c>
      <c r="G27" s="84">
        <v>48.59375</v>
      </c>
      <c r="H27" s="84">
        <v>50.292553191489361</v>
      </c>
      <c r="I27" s="120">
        <f t="shared" si="0"/>
        <v>1.6988031914893611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64.836956521739125</v>
      </c>
      <c r="C28" s="84">
        <v>67.027777777777771</v>
      </c>
      <c r="D28" s="84">
        <v>68.972222222222229</v>
      </c>
      <c r="E28" s="84">
        <v>64.944444444444443</v>
      </c>
      <c r="F28" s="84">
        <v>51.490384615384613</v>
      </c>
      <c r="G28" s="84">
        <v>49.6875</v>
      </c>
      <c r="H28" s="84">
        <v>47.303921568627452</v>
      </c>
      <c r="I28" s="120">
        <f t="shared" si="0"/>
        <v>-2.3835784313725483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95.292431192660558</v>
      </c>
      <c r="C29" s="84">
        <v>89.960629921259837</v>
      </c>
      <c r="D29" s="84">
        <v>93.135504201680675</v>
      </c>
      <c r="E29" s="84">
        <v>91.859243697478988</v>
      </c>
      <c r="F29" s="84">
        <v>74.939236111111114</v>
      </c>
      <c r="G29" s="84">
        <v>78.415798611111114</v>
      </c>
      <c r="H29" s="84">
        <v>77.354948805460751</v>
      </c>
      <c r="I29" s="120">
        <f t="shared" si="0"/>
        <v>-1.0608498056503635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75.288461538461533</v>
      </c>
      <c r="C30" s="84">
        <v>74.110169491525426</v>
      </c>
      <c r="D30" s="84">
        <v>68.526422764227647</v>
      </c>
      <c r="E30" s="84">
        <v>67.195121951219519</v>
      </c>
      <c r="F30" s="84">
        <v>61.42578125</v>
      </c>
      <c r="G30" s="84">
        <v>60.078125000000007</v>
      </c>
      <c r="H30" s="84">
        <v>59.437984496124031</v>
      </c>
      <c r="I30" s="120">
        <f t="shared" si="0"/>
        <v>-0.64014050387597621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76.875</v>
      </c>
      <c r="C31" s="84">
        <v>75.461538461538453</v>
      </c>
      <c r="D31" s="84">
        <v>67.269230769230774</v>
      </c>
      <c r="E31" s="84">
        <v>71.403846153846146</v>
      </c>
      <c r="F31" s="84">
        <v>65.404929577464785</v>
      </c>
      <c r="G31" s="84">
        <v>64.225352112676063</v>
      </c>
      <c r="H31" s="84">
        <v>63.749999999999993</v>
      </c>
      <c r="I31" s="120">
        <f t="shared" si="0"/>
        <v>-0.47535211267607025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77.344377510040161</v>
      </c>
      <c r="C32" s="84">
        <v>72.083333333333329</v>
      </c>
      <c r="D32" s="84">
        <v>72.784313725490193</v>
      </c>
      <c r="E32" s="84">
        <v>71.637254901960787</v>
      </c>
      <c r="F32" s="84">
        <v>66.630434782608688</v>
      </c>
      <c r="G32" s="84">
        <v>67.282608695652172</v>
      </c>
      <c r="H32" s="84">
        <v>65.905330882352942</v>
      </c>
      <c r="I32" s="120">
        <f t="shared" si="0"/>
        <v>-1.37727781329923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83.362724757952975</v>
      </c>
      <c r="C33" s="84">
        <v>80.517299864314779</v>
      </c>
      <c r="D33" s="84">
        <v>78.788798920377872</v>
      </c>
      <c r="E33" s="84">
        <v>80.253036437246962</v>
      </c>
      <c r="F33" s="84">
        <v>77.660875160875165</v>
      </c>
      <c r="G33" s="84">
        <v>78.473837209302317</v>
      </c>
      <c r="H33" s="84">
        <v>74.978097622027533</v>
      </c>
      <c r="I33" s="120">
        <f t="shared" si="0"/>
        <v>-3.4957395872747838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64.836497890295362</v>
      </c>
      <c r="C34" s="84">
        <v>65.304203539823007</v>
      </c>
      <c r="D34" s="84">
        <v>64.596238938053091</v>
      </c>
      <c r="E34" s="84">
        <v>61.847345132743357</v>
      </c>
      <c r="F34" s="84">
        <v>63.847031963470322</v>
      </c>
      <c r="G34" s="84">
        <v>63.528409090909086</v>
      </c>
      <c r="H34" s="84">
        <v>62.709276018099544</v>
      </c>
      <c r="I34" s="120">
        <f t="shared" si="0"/>
        <v>-0.81913307280954228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104.41666666666667</v>
      </c>
      <c r="C35" s="84">
        <v>99.427966101694921</v>
      </c>
      <c r="D35" s="84">
        <v>87.996323529411768</v>
      </c>
      <c r="E35" s="84">
        <v>84.540441176470594</v>
      </c>
      <c r="F35" s="84">
        <v>81.927083333333329</v>
      </c>
      <c r="G35" s="84">
        <v>81.545138888888886</v>
      </c>
      <c r="H35" s="84">
        <v>78.378378378378372</v>
      </c>
      <c r="I35" s="120">
        <f t="shared" si="0"/>
        <v>-3.1667605105105139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108.67857142857143</v>
      </c>
      <c r="C36" s="84">
        <v>70.300925925925924</v>
      </c>
      <c r="D36" s="84">
        <v>67.152777777777771</v>
      </c>
      <c r="E36" s="84">
        <v>69.884259259259267</v>
      </c>
      <c r="F36" s="84">
        <v>65.471311475409834</v>
      </c>
      <c r="G36" s="84">
        <v>62.807377049180324</v>
      </c>
      <c r="H36" s="84">
        <v>59.194915254237287</v>
      </c>
      <c r="I36" s="120">
        <f t="shared" si="0"/>
        <v>-3.6124617949430373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111.38586956521739</v>
      </c>
      <c r="C37" s="84">
        <v>85.954999999999998</v>
      </c>
      <c r="D37" s="84">
        <v>88.85499999999999</v>
      </c>
      <c r="E37" s="84">
        <v>93.335000000000008</v>
      </c>
      <c r="F37" s="84">
        <v>92.902777777777771</v>
      </c>
      <c r="G37" s="84">
        <v>97.404197080291965</v>
      </c>
      <c r="H37" s="84">
        <v>90.364406779661024</v>
      </c>
      <c r="I37" s="120">
        <f t="shared" si="0"/>
        <v>-7.0397903006309406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65.442708333333329</v>
      </c>
      <c r="C38" s="84">
        <v>64.512411347517727</v>
      </c>
      <c r="D38" s="84">
        <v>62.239583333333336</v>
      </c>
      <c r="E38" s="84">
        <v>61.875</v>
      </c>
      <c r="F38" s="84">
        <v>56.366459627329192</v>
      </c>
      <c r="G38" s="84">
        <v>57.756211180124225</v>
      </c>
      <c r="H38" s="84">
        <v>60.513245033112582</v>
      </c>
      <c r="I38" s="120">
        <f t="shared" si="0"/>
        <v>2.7570338529883571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85.625</v>
      </c>
      <c r="C39" s="84">
        <v>79.019607843137251</v>
      </c>
      <c r="D39" s="84">
        <v>78.22727272727272</v>
      </c>
      <c r="E39" s="84">
        <v>79.13636363636364</v>
      </c>
      <c r="F39" s="84">
        <v>64.734848484848484</v>
      </c>
      <c r="G39" s="84">
        <v>64.734848484848484</v>
      </c>
      <c r="H39" s="84">
        <v>64.794776119402982</v>
      </c>
      <c r="I39" s="120">
        <f t="shared" si="0"/>
        <v>5.9927634554497899E-2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104.38701923076923</v>
      </c>
      <c r="C40" s="84">
        <v>106.18990384615385</v>
      </c>
      <c r="D40" s="84">
        <v>97.584134615384613</v>
      </c>
      <c r="E40" s="84">
        <v>96.77884615384616</v>
      </c>
      <c r="F40" s="84">
        <v>93.222477064220186</v>
      </c>
      <c r="G40" s="84">
        <v>98.876146788990823</v>
      </c>
      <c r="H40" s="84">
        <v>98.5091743119266</v>
      </c>
      <c r="I40" s="120">
        <f t="shared" si="0"/>
        <v>-0.36697247706422331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81.517857142857139</v>
      </c>
      <c r="C41" s="84">
        <v>79.955357142857139</v>
      </c>
      <c r="D41" s="84">
        <v>77.17647058823529</v>
      </c>
      <c r="E41" s="84">
        <v>76.764705882352942</v>
      </c>
      <c r="F41" s="84">
        <v>75</v>
      </c>
      <c r="G41" s="84">
        <v>79.569444444444443</v>
      </c>
      <c r="H41" s="84">
        <v>66.401515151515156</v>
      </c>
      <c r="I41" s="120">
        <f t="shared" si="0"/>
        <v>-13.167929292929287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69.912280701754383</v>
      </c>
      <c r="C42" s="84">
        <v>64.625</v>
      </c>
      <c r="D42" s="84">
        <v>59.494535519125677</v>
      </c>
      <c r="E42" s="84">
        <v>58.101092896174869</v>
      </c>
      <c r="F42" s="84">
        <v>45.451388888888886</v>
      </c>
      <c r="G42" s="84">
        <v>49.635416666666664</v>
      </c>
      <c r="H42" s="84">
        <v>45.96153846153846</v>
      </c>
      <c r="I42" s="120">
        <f t="shared" si="0"/>
        <v>-3.6738782051282044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70.409192825112115</v>
      </c>
      <c r="C43" s="84">
        <v>66.908713692946051</v>
      </c>
      <c r="D43" s="84">
        <v>67.932098765432102</v>
      </c>
      <c r="E43" s="84">
        <v>72.242798353909464</v>
      </c>
      <c r="F43" s="84">
        <v>74.539728682170548</v>
      </c>
      <c r="G43" s="84">
        <v>73.447115384615387</v>
      </c>
      <c r="H43" s="84">
        <v>68.894052044609666</v>
      </c>
      <c r="I43" s="120">
        <f t="shared" si="0"/>
        <v>-4.5530633400057212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87.25328947368422</v>
      </c>
      <c r="C44" s="84">
        <v>86.265822784810126</v>
      </c>
      <c r="D44" s="84">
        <v>92.92763157894737</v>
      </c>
      <c r="E44" s="84">
        <v>94.391447368421055</v>
      </c>
      <c r="F44" s="84">
        <v>91.84210526315789</v>
      </c>
      <c r="G44" s="84">
        <v>79.845505617977537</v>
      </c>
      <c r="H44" s="84">
        <v>79.659090909090907</v>
      </c>
      <c r="I44" s="120">
        <f t="shared" si="0"/>
        <v>-0.18641470888663036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79.669642857142847</v>
      </c>
      <c r="C45" s="84">
        <v>79.930069930069919</v>
      </c>
      <c r="D45" s="84">
        <v>78.920068027210888</v>
      </c>
      <c r="E45" s="84">
        <v>76.564625850340136</v>
      </c>
      <c r="F45" s="84">
        <v>71.090764331210181</v>
      </c>
      <c r="G45" s="84">
        <v>69.323248407643305</v>
      </c>
      <c r="H45" s="84">
        <v>67.937898089171981</v>
      </c>
      <c r="I45" s="120">
        <f t="shared" si="0"/>
        <v>-1.3853503184713247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92.529761904761912</v>
      </c>
      <c r="C46" s="84">
        <v>90.058139534883722</v>
      </c>
      <c r="D46" s="84">
        <v>89.563953488372093</v>
      </c>
      <c r="E46" s="84">
        <v>82.790697674418595</v>
      </c>
      <c r="F46" s="84">
        <v>79.0625</v>
      </c>
      <c r="G46" s="84">
        <v>84.453125</v>
      </c>
      <c r="H46" s="84">
        <v>82.448979591836732</v>
      </c>
      <c r="I46" s="120">
        <f t="shared" si="0"/>
        <v>-2.0041454081632679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70.541158536585371</v>
      </c>
      <c r="C47" s="84">
        <v>64.971428571428575</v>
      </c>
      <c r="D47" s="84">
        <v>65.171428571428564</v>
      </c>
      <c r="E47" s="84">
        <v>66.621428571428581</v>
      </c>
      <c r="F47" s="84">
        <v>66.065340909090907</v>
      </c>
      <c r="G47" s="84">
        <v>64.737215909090907</v>
      </c>
      <c r="H47" s="84">
        <v>63.635057471264368</v>
      </c>
      <c r="I47" s="120">
        <f t="shared" si="0"/>
        <v>-1.1021584378265388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98.415178571428569</v>
      </c>
      <c r="C48" s="84">
        <v>85.900735294117652</v>
      </c>
      <c r="D48" s="84">
        <v>93.333333333333329</v>
      </c>
      <c r="E48" s="84">
        <v>96.011904761904759</v>
      </c>
      <c r="F48" s="84">
        <v>92.644927536231876</v>
      </c>
      <c r="G48" s="84">
        <v>95.253623188405797</v>
      </c>
      <c r="H48" s="84">
        <v>96.068840579710141</v>
      </c>
      <c r="I48" s="120">
        <f t="shared" si="0"/>
        <v>0.81521739130434412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58.175675675675677</v>
      </c>
      <c r="C49" s="84">
        <v>46.781914893617021</v>
      </c>
      <c r="D49" s="84">
        <v>46.032608695652172</v>
      </c>
      <c r="E49" s="84">
        <v>46.711956521739125</v>
      </c>
      <c r="F49" s="84">
        <v>39.46078431372549</v>
      </c>
      <c r="G49" s="84">
        <v>38.03921568627451</v>
      </c>
      <c r="H49" s="84">
        <v>32.041666666666671</v>
      </c>
      <c r="I49" s="120">
        <f t="shared" si="0"/>
        <v>-5.9975490196078383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97.718992248062023</v>
      </c>
      <c r="C50" s="89">
        <v>94.875192012288792</v>
      </c>
      <c r="D50" s="89">
        <v>94.735429447852766</v>
      </c>
      <c r="E50" s="89">
        <v>97.532592024539881</v>
      </c>
      <c r="F50" s="89">
        <v>90.267730496453908</v>
      </c>
      <c r="G50" s="89">
        <v>89.575070821529749</v>
      </c>
      <c r="H50" s="89">
        <v>89.650499286733236</v>
      </c>
      <c r="I50" s="121">
        <f t="shared" si="0"/>
        <v>7.5428465203486894E-2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101.65968342644321</v>
      </c>
      <c r="C51" s="84">
        <v>98.183486238532112</v>
      </c>
      <c r="D51" s="84">
        <v>98.990825688073386</v>
      </c>
      <c r="E51" s="84">
        <v>102.22935779816513</v>
      </c>
      <c r="F51" s="84">
        <v>96.306228373702425</v>
      </c>
      <c r="G51" s="84">
        <v>95.449050086355797</v>
      </c>
      <c r="H51" s="84">
        <v>94.847508591065292</v>
      </c>
      <c r="I51" s="120">
        <f t="shared" si="0"/>
        <v>-0.60154149529050471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78.125</v>
      </c>
      <c r="C52" s="84">
        <v>77.865566037735846</v>
      </c>
      <c r="D52" s="84">
        <v>73.06074766355141</v>
      </c>
      <c r="E52" s="84">
        <v>73.609813084112147</v>
      </c>
      <c r="F52" s="84">
        <v>62.785433070866134</v>
      </c>
      <c r="G52" s="84">
        <v>62.795275590551178</v>
      </c>
      <c r="H52" s="84">
        <v>64.233193277310932</v>
      </c>
      <c r="I52" s="120">
        <f t="shared" si="0"/>
        <v>1.4379176867597536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5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5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5" hidden="1" x14ac:dyDescent="0.25">
      <c r="A56" s="57" t="s">
        <v>37</v>
      </c>
      <c r="B56" s="84">
        <v>83.984029619805483</v>
      </c>
      <c r="C56" s="84">
        <v>79.092994161801499</v>
      </c>
      <c r="D56" s="84">
        <v>78.466559184522566</v>
      </c>
      <c r="E56" s="84">
        <v>79.375390056168101</v>
      </c>
      <c r="F56" s="84">
        <v>74.391428295322768</v>
      </c>
      <c r="G56" s="84">
        <v>75.085725293777699</v>
      </c>
      <c r="H56" s="84">
        <v>73.271848819497336</v>
      </c>
      <c r="I56" s="84">
        <f t="shared" si="0"/>
        <v>-1.813876474280363</v>
      </c>
    </row>
    <row r="57" spans="1:15" ht="8.1" customHeight="1" x14ac:dyDescent="0.25"/>
    <row r="58" spans="1:15" ht="24" customHeight="1" x14ac:dyDescent="0.25">
      <c r="A58" s="99" t="s">
        <v>222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120" zoomScaleNormal="120" workbookViewId="0">
      <selection activeCell="M11" sqref="M11"/>
    </sheetView>
  </sheetViews>
  <sheetFormatPr baseColWidth="10" defaultRowHeight="13.5" x14ac:dyDescent="0.25"/>
  <cols>
    <col min="1" max="1" width="23.42578125" style="56" customWidth="1"/>
    <col min="2" max="8" width="8.7109375" style="56" customWidth="1"/>
    <col min="9" max="9" width="9.28515625" style="56" customWidth="1"/>
    <col min="10" max="10" width="15.140625" style="56" bestFit="1" customWidth="1"/>
    <col min="11" max="11" width="11.5703125" style="56" bestFit="1" customWidth="1"/>
    <col min="12" max="12" width="15.140625" style="56" bestFit="1" customWidth="1"/>
    <col min="13" max="13" width="11.5703125" style="56" bestFit="1" customWidth="1"/>
    <col min="14" max="14" width="15.140625" style="56" bestFit="1" customWidth="1"/>
    <col min="15" max="15" width="11.5703125" style="56" bestFit="1" customWidth="1"/>
    <col min="16" max="16" width="20.140625" style="56" bestFit="1" customWidth="1"/>
    <col min="17" max="17" width="16.5703125" style="56" bestFit="1" customWidth="1"/>
    <col min="18" max="16384" width="11.42578125" style="56"/>
  </cols>
  <sheetData>
    <row r="1" spans="1:10" s="4" customFormat="1" ht="15" customHeight="1" x14ac:dyDescent="0.35">
      <c r="B1" s="1"/>
      <c r="C1" s="1"/>
      <c r="D1" s="1"/>
      <c r="E1" s="1"/>
      <c r="F1" s="1"/>
      <c r="G1" s="1"/>
      <c r="H1" s="72"/>
      <c r="I1" s="73" t="s">
        <v>48</v>
      </c>
    </row>
    <row r="2" spans="1:10" s="4" customFormat="1" ht="15" customHeight="1" x14ac:dyDescent="0.35">
      <c r="B2" s="1"/>
      <c r="C2" s="1"/>
      <c r="D2" s="1"/>
      <c r="E2" s="1"/>
      <c r="F2" s="1"/>
      <c r="G2" s="1"/>
      <c r="H2" s="72"/>
      <c r="I2" s="8" t="s">
        <v>42</v>
      </c>
    </row>
    <row r="3" spans="1:10" s="4" customFormat="1" ht="15" customHeight="1" x14ac:dyDescent="0.35">
      <c r="B3" s="1"/>
      <c r="C3" s="1"/>
      <c r="D3" s="1"/>
      <c r="E3" s="1"/>
      <c r="F3" s="1"/>
      <c r="G3" s="1"/>
      <c r="H3" s="72"/>
      <c r="I3" s="6"/>
    </row>
    <row r="4" spans="1:10" s="4" customFormat="1" ht="12.75" customHeight="1" x14ac:dyDescent="0.35">
      <c r="B4" s="1"/>
      <c r="C4" s="1"/>
      <c r="D4" s="1"/>
      <c r="E4" s="1"/>
      <c r="F4" s="1"/>
      <c r="G4" s="1"/>
      <c r="H4" s="72"/>
      <c r="I4" s="6"/>
    </row>
    <row r="5" spans="1:10" s="4" customFormat="1" ht="15" customHeight="1" x14ac:dyDescent="0.25">
      <c r="A5" s="90" t="s">
        <v>178</v>
      </c>
      <c r="B5" s="90"/>
      <c r="C5" s="90"/>
      <c r="D5" s="90"/>
      <c r="E5" s="90"/>
      <c r="F5" s="90"/>
      <c r="G5" s="90"/>
      <c r="H5" s="91"/>
      <c r="I5" s="91"/>
      <c r="J5" s="2"/>
    </row>
    <row r="6" spans="1:10" s="4" customFormat="1" ht="8.1" customHeight="1" x14ac:dyDescent="0.35">
      <c r="A6" s="6"/>
      <c r="B6" s="72"/>
      <c r="C6" s="74"/>
      <c r="D6" s="74"/>
      <c r="E6" s="75"/>
      <c r="F6" s="75"/>
      <c r="G6" s="75"/>
      <c r="H6" s="75"/>
      <c r="I6" s="7"/>
    </row>
    <row r="7" spans="1:10" s="77" customFormat="1" ht="15" customHeight="1" x14ac:dyDescent="0.35">
      <c r="A7" s="85" t="s">
        <v>45</v>
      </c>
      <c r="B7" s="85" t="s">
        <v>0</v>
      </c>
      <c r="C7" s="76"/>
      <c r="D7" s="76"/>
      <c r="E7" s="72"/>
      <c r="F7" s="72"/>
      <c r="G7" s="72"/>
      <c r="H7" s="72"/>
      <c r="I7" s="6"/>
    </row>
    <row r="8" spans="1:10" s="77" customFormat="1" ht="15" customHeight="1" x14ac:dyDescent="0.35">
      <c r="A8" s="86">
        <v>2012</v>
      </c>
      <c r="B8" s="116">
        <f>$B$56</f>
        <v>18.967869329268495</v>
      </c>
      <c r="C8" s="78"/>
      <c r="D8" s="76"/>
      <c r="E8" s="72"/>
      <c r="F8" s="72"/>
      <c r="G8" s="72"/>
      <c r="H8" s="72"/>
      <c r="I8" s="6"/>
      <c r="J8" s="79"/>
    </row>
    <row r="9" spans="1:10" s="77" customFormat="1" ht="15" customHeight="1" x14ac:dyDescent="0.35">
      <c r="A9" s="86">
        <v>2013</v>
      </c>
      <c r="B9" s="116">
        <f>$C$56</f>
        <v>18.128670362389165</v>
      </c>
      <c r="C9" s="76"/>
      <c r="D9" s="76"/>
      <c r="E9" s="72"/>
      <c r="F9" s="72"/>
      <c r="G9" s="72"/>
      <c r="H9" s="72"/>
      <c r="I9" s="6"/>
      <c r="J9" s="79"/>
    </row>
    <row r="10" spans="1:10" s="77" customFormat="1" ht="15" customHeight="1" x14ac:dyDescent="0.35">
      <c r="A10" s="86">
        <v>2014</v>
      </c>
      <c r="B10" s="116">
        <f>$D$56</f>
        <v>17.534534574117522</v>
      </c>
      <c r="C10" s="76"/>
      <c r="D10" s="76"/>
      <c r="E10" s="72"/>
      <c r="F10" s="72"/>
      <c r="G10" s="72"/>
      <c r="H10" s="72"/>
      <c r="I10" s="6"/>
      <c r="J10" s="79"/>
    </row>
    <row r="11" spans="1:10" s="77" customFormat="1" ht="15" customHeight="1" x14ac:dyDescent="0.35">
      <c r="A11" s="86">
        <v>2015</v>
      </c>
      <c r="B11" s="116">
        <f>$E$56</f>
        <v>17.855118955695261</v>
      </c>
      <c r="C11" s="76"/>
      <c r="D11" s="76"/>
      <c r="E11" s="72"/>
      <c r="F11" s="72"/>
      <c r="G11" s="72"/>
      <c r="H11" s="72"/>
      <c r="I11" s="6"/>
      <c r="J11" s="79"/>
    </row>
    <row r="12" spans="1:10" s="77" customFormat="1" ht="15" customHeight="1" x14ac:dyDescent="0.35">
      <c r="A12" s="86">
        <v>2016</v>
      </c>
      <c r="B12" s="116">
        <f>$F$56</f>
        <v>18.622029445103294</v>
      </c>
      <c r="C12" s="76"/>
      <c r="D12" s="76"/>
      <c r="E12" s="72"/>
      <c r="F12" s="72"/>
      <c r="G12" s="72"/>
      <c r="H12" s="72"/>
      <c r="I12" s="6"/>
      <c r="J12" s="79"/>
    </row>
    <row r="13" spans="1:10" s="77" customFormat="1" ht="15" customHeight="1" x14ac:dyDescent="0.35">
      <c r="A13" s="86">
        <v>2017</v>
      </c>
      <c r="B13" s="116">
        <f>$G$56</f>
        <v>17.601917374911103</v>
      </c>
      <c r="C13" s="76"/>
      <c r="D13" s="76"/>
      <c r="E13" s="72"/>
      <c r="F13" s="72"/>
      <c r="G13" s="72"/>
      <c r="H13" s="72"/>
      <c r="I13" s="6"/>
      <c r="J13" s="79"/>
    </row>
    <row r="14" spans="1:10" s="77" customFormat="1" ht="15" customHeight="1" x14ac:dyDescent="0.35">
      <c r="A14" s="86">
        <v>2018</v>
      </c>
      <c r="B14" s="116">
        <f>$H$56</f>
        <v>16.319880955435263</v>
      </c>
      <c r="C14" s="76"/>
      <c r="D14" s="76"/>
      <c r="E14" s="72"/>
      <c r="F14" s="72"/>
      <c r="G14" s="72"/>
      <c r="H14" s="72"/>
      <c r="I14" s="6"/>
      <c r="J14" s="79"/>
    </row>
    <row r="15" spans="1:10" s="77" customFormat="1" ht="15" customHeight="1" x14ac:dyDescent="0.35">
      <c r="A15" s="88" t="s">
        <v>47</v>
      </c>
      <c r="B15" s="87">
        <f>B14-B13</f>
        <v>-1.2820364194758405</v>
      </c>
      <c r="C15" s="76"/>
      <c r="D15" s="76"/>
      <c r="E15" s="72"/>
      <c r="F15" s="72"/>
      <c r="G15" s="72"/>
      <c r="H15" s="72"/>
      <c r="I15" s="6"/>
    </row>
    <row r="16" spans="1:10" s="4" customFormat="1" ht="12.75" customHeight="1" x14ac:dyDescent="0.35">
      <c r="A16" s="80"/>
      <c r="B16" s="230"/>
      <c r="C16" s="230"/>
      <c r="D16" s="230"/>
      <c r="E16" s="231"/>
      <c r="F16" s="231"/>
      <c r="G16" s="231"/>
      <c r="H16" s="81"/>
      <c r="I16" s="7"/>
    </row>
    <row r="17" spans="1:15" hidden="1" x14ac:dyDescent="0.25">
      <c r="A17" s="94" t="s">
        <v>179</v>
      </c>
      <c r="B17" s="55" t="s">
        <v>45</v>
      </c>
      <c r="I17" s="92" t="s">
        <v>170</v>
      </c>
      <c r="J17" s="3"/>
      <c r="K17" s="3"/>
      <c r="L17" s="3"/>
      <c r="M17" s="3"/>
      <c r="N17" s="3"/>
      <c r="O17" s="3"/>
    </row>
    <row r="18" spans="1:15" x14ac:dyDescent="0.25">
      <c r="A18" s="55" t="s">
        <v>168</v>
      </c>
      <c r="B18" s="56">
        <v>2012</v>
      </c>
      <c r="C18" s="56">
        <v>2013</v>
      </c>
      <c r="D18" s="56">
        <v>2014</v>
      </c>
      <c r="E18" s="56">
        <v>2015</v>
      </c>
      <c r="F18" s="56">
        <v>2016</v>
      </c>
      <c r="G18" s="56">
        <v>2017</v>
      </c>
      <c r="H18" s="56">
        <v>2018</v>
      </c>
      <c r="I18" s="95" t="s">
        <v>47</v>
      </c>
      <c r="J18" s="3"/>
      <c r="K18" s="3"/>
      <c r="L18" s="3"/>
      <c r="M18" s="3"/>
      <c r="N18" s="3"/>
      <c r="O18" s="3"/>
    </row>
    <row r="19" spans="1:15" x14ac:dyDescent="0.25">
      <c r="A19" s="57" t="s">
        <v>49</v>
      </c>
      <c r="B19" s="84">
        <v>18.197728452281801</v>
      </c>
      <c r="C19" s="84">
        <v>17.49128315163372</v>
      </c>
      <c r="D19" s="84">
        <v>17.042113259831616</v>
      </c>
      <c r="E19" s="84">
        <v>16.981655484530613</v>
      </c>
      <c r="F19" s="84">
        <v>17.534486757635438</v>
      </c>
      <c r="G19" s="84">
        <v>16.572506906346053</v>
      </c>
      <c r="H19" s="84">
        <v>15.590068293878046</v>
      </c>
      <c r="I19" s="119">
        <f>H19-G19</f>
        <v>-0.98243861246800712</v>
      </c>
      <c r="J19" s="3"/>
      <c r="K19" s="3"/>
      <c r="L19" s="3"/>
      <c r="M19" s="3"/>
      <c r="N19" s="3"/>
      <c r="O19" s="3"/>
    </row>
    <row r="20" spans="1:15" x14ac:dyDescent="0.25">
      <c r="A20" s="59" t="s">
        <v>1</v>
      </c>
      <c r="B20" s="84">
        <v>13.572477449129428</v>
      </c>
      <c r="C20" s="84">
        <v>13.658736669401151</v>
      </c>
      <c r="D20" s="84">
        <v>11.155800169348007</v>
      </c>
      <c r="E20" s="84">
        <v>11.05912377711612</v>
      </c>
      <c r="F20" s="84">
        <v>11.256432246998283</v>
      </c>
      <c r="G20" s="84">
        <v>8.8591184096802102</v>
      </c>
      <c r="H20" s="84">
        <v>9.1377091377091375</v>
      </c>
      <c r="I20" s="120">
        <f t="shared" ref="I20:I56" si="0">H20-G20</f>
        <v>0.27859072802892726</v>
      </c>
      <c r="J20" s="3"/>
      <c r="K20" s="3"/>
      <c r="L20" s="3"/>
      <c r="M20" s="3"/>
      <c r="N20" s="3"/>
      <c r="O20" s="3"/>
    </row>
    <row r="21" spans="1:15" x14ac:dyDescent="0.25">
      <c r="A21" s="59" t="s">
        <v>3</v>
      </c>
      <c r="B21" s="84">
        <v>20.224853486425065</v>
      </c>
      <c r="C21" s="84">
        <v>20.662045889101343</v>
      </c>
      <c r="D21" s="84">
        <v>18.174933737220744</v>
      </c>
      <c r="E21" s="84">
        <v>20.96974206349206</v>
      </c>
      <c r="F21" s="84">
        <v>24.781976744186053</v>
      </c>
      <c r="G21" s="84">
        <v>21.236093943139679</v>
      </c>
      <c r="H21" s="84">
        <v>17.286943871984484</v>
      </c>
      <c r="I21" s="120">
        <f t="shared" si="0"/>
        <v>-3.949150071155195</v>
      </c>
      <c r="J21" s="3"/>
      <c r="K21" s="3"/>
      <c r="L21" s="3"/>
      <c r="M21" s="3"/>
      <c r="N21" s="3"/>
      <c r="O21" s="3"/>
    </row>
    <row r="22" spans="1:15" x14ac:dyDescent="0.25">
      <c r="A22" s="59" t="s">
        <v>4</v>
      </c>
      <c r="B22" s="84">
        <v>11.649911295091664</v>
      </c>
      <c r="C22" s="84">
        <v>16.666666666666664</v>
      </c>
      <c r="D22" s="84">
        <v>19.727891156462583</v>
      </c>
      <c r="E22" s="84">
        <v>12.996941896024461</v>
      </c>
      <c r="F22" s="84">
        <v>12.960000000000004</v>
      </c>
      <c r="G22" s="84">
        <v>18.530351437699679</v>
      </c>
      <c r="H22" s="84">
        <v>14.36298076923077</v>
      </c>
      <c r="I22" s="120">
        <f t="shared" si="0"/>
        <v>-4.1673706684689087</v>
      </c>
      <c r="J22" s="3"/>
      <c r="K22" s="3"/>
      <c r="L22" s="3"/>
      <c r="M22" s="3"/>
      <c r="N22" s="3"/>
      <c r="O22" s="3"/>
    </row>
    <row r="23" spans="1:15" x14ac:dyDescent="0.25">
      <c r="A23" s="59" t="s">
        <v>5</v>
      </c>
      <c r="B23" s="84">
        <v>21.883812746756913</v>
      </c>
      <c r="C23" s="84">
        <v>19.206008583690991</v>
      </c>
      <c r="D23" s="84">
        <v>20.41450777202073</v>
      </c>
      <c r="E23" s="84">
        <v>19.134515119916585</v>
      </c>
      <c r="F23" s="84">
        <v>18.783068783068778</v>
      </c>
      <c r="G23" s="84">
        <v>18.855585831062672</v>
      </c>
      <c r="H23" s="84">
        <v>17.247097844112769</v>
      </c>
      <c r="I23" s="120">
        <f t="shared" si="0"/>
        <v>-1.6084879869499034</v>
      </c>
      <c r="J23" s="3"/>
      <c r="K23" s="3"/>
      <c r="L23" s="3"/>
      <c r="M23" s="3"/>
      <c r="N23" s="3"/>
      <c r="O23" s="3"/>
    </row>
    <row r="24" spans="1:15" x14ac:dyDescent="0.25">
      <c r="A24" s="59" t="s">
        <v>6</v>
      </c>
      <c r="B24" s="84">
        <v>14.782964782964781</v>
      </c>
      <c r="C24" s="84">
        <v>13.117723156532989</v>
      </c>
      <c r="D24" s="84">
        <v>14.628600303183426</v>
      </c>
      <c r="E24" s="84">
        <v>13.582859410130933</v>
      </c>
      <c r="F24" s="84">
        <v>10.72389666307858</v>
      </c>
      <c r="G24" s="84">
        <v>12.630742751224677</v>
      </c>
      <c r="H24" s="84">
        <v>12.419006479481641</v>
      </c>
      <c r="I24" s="120">
        <f t="shared" si="0"/>
        <v>-0.21173627174303533</v>
      </c>
      <c r="J24" s="3"/>
      <c r="K24" s="3"/>
      <c r="L24" s="3"/>
      <c r="M24" s="3"/>
      <c r="N24" s="3"/>
      <c r="O24" s="3"/>
    </row>
    <row r="25" spans="1:15" x14ac:dyDescent="0.25">
      <c r="A25" s="59" t="s">
        <v>7</v>
      </c>
      <c r="B25" s="84">
        <v>22.461073669532883</v>
      </c>
      <c r="C25" s="84">
        <v>21.224000871174997</v>
      </c>
      <c r="D25" s="84">
        <v>14.572310405643741</v>
      </c>
      <c r="E25" s="84">
        <v>19.058388157894733</v>
      </c>
      <c r="F25" s="84">
        <v>22.116968698517304</v>
      </c>
      <c r="G25" s="84">
        <v>19.142385926333148</v>
      </c>
      <c r="H25" s="84">
        <v>20.015212430729111</v>
      </c>
      <c r="I25" s="120">
        <f t="shared" si="0"/>
        <v>0.8728265043959631</v>
      </c>
      <c r="J25" s="3"/>
      <c r="K25" s="3"/>
      <c r="L25" s="3"/>
      <c r="M25" s="3"/>
      <c r="N25" s="3"/>
      <c r="O25" s="3"/>
    </row>
    <row r="26" spans="1:15" x14ac:dyDescent="0.25">
      <c r="A26" s="59" t="s">
        <v>31</v>
      </c>
      <c r="B26" s="84">
        <v>16.635065099228918</v>
      </c>
      <c r="C26" s="84">
        <v>17.24693346549374</v>
      </c>
      <c r="D26" s="84">
        <v>17.070079837789887</v>
      </c>
      <c r="E26" s="84">
        <v>15.079565546855267</v>
      </c>
      <c r="F26" s="84">
        <v>15.419094576423131</v>
      </c>
      <c r="G26" s="84">
        <v>14.223124599273351</v>
      </c>
      <c r="H26" s="84">
        <v>9.2191535863302203</v>
      </c>
      <c r="I26" s="120">
        <f t="shared" si="0"/>
        <v>-5.003971012943131</v>
      </c>
      <c r="J26" s="3"/>
      <c r="K26" s="3"/>
      <c r="L26" s="3"/>
      <c r="M26" s="3"/>
      <c r="N26" s="3"/>
      <c r="O26" s="3"/>
    </row>
    <row r="27" spans="1:15" x14ac:dyDescent="0.25">
      <c r="A27" s="59" t="s">
        <v>8</v>
      </c>
      <c r="B27" s="84">
        <v>23.456090651558071</v>
      </c>
      <c r="C27" s="84">
        <v>23.175965665236053</v>
      </c>
      <c r="D27" s="84">
        <v>21.348911311736597</v>
      </c>
      <c r="E27" s="84">
        <v>25.865687303252884</v>
      </c>
      <c r="F27" s="84">
        <v>22.163865546218485</v>
      </c>
      <c r="G27" s="84">
        <v>22.255790533736153</v>
      </c>
      <c r="H27" s="84">
        <v>16.773847802786712</v>
      </c>
      <c r="I27" s="120">
        <f t="shared" si="0"/>
        <v>-5.4819427309494415</v>
      </c>
      <c r="J27" s="3"/>
      <c r="K27" s="3"/>
      <c r="L27" s="3"/>
      <c r="M27" s="3"/>
      <c r="N27" s="3"/>
      <c r="O27" s="3"/>
    </row>
    <row r="28" spans="1:15" x14ac:dyDescent="0.25">
      <c r="A28" s="59" t="s">
        <v>9</v>
      </c>
      <c r="B28" s="84">
        <v>27.531914893617028</v>
      </c>
      <c r="C28" s="84">
        <v>22.967309304274941</v>
      </c>
      <c r="D28" s="84">
        <v>20.389556568586819</v>
      </c>
      <c r="E28" s="84">
        <v>24.083769633507856</v>
      </c>
      <c r="F28" s="84">
        <v>25.320786997433707</v>
      </c>
      <c r="G28" s="84">
        <v>25.723622782446309</v>
      </c>
      <c r="H28" s="84">
        <v>22.883405902273822</v>
      </c>
      <c r="I28" s="120">
        <f t="shared" si="0"/>
        <v>-2.8402168801724876</v>
      </c>
      <c r="J28" s="3"/>
      <c r="K28" s="3"/>
      <c r="L28" s="3"/>
      <c r="M28" s="3"/>
      <c r="N28" s="3"/>
      <c r="O28" s="3"/>
    </row>
    <row r="29" spans="1:15" x14ac:dyDescent="0.25">
      <c r="A29" s="59" t="s">
        <v>10</v>
      </c>
      <c r="B29" s="84">
        <v>14.134452728525781</v>
      </c>
      <c r="C29" s="84">
        <v>12.924965401046995</v>
      </c>
      <c r="D29" s="84">
        <v>14.928884026258205</v>
      </c>
      <c r="E29" s="84">
        <v>12.039699994360797</v>
      </c>
      <c r="F29" s="84">
        <v>12.921669525443114</v>
      </c>
      <c r="G29" s="84">
        <v>14.050735549635117</v>
      </c>
      <c r="H29" s="84">
        <v>11.761775612996072</v>
      </c>
      <c r="I29" s="120">
        <f t="shared" si="0"/>
        <v>-2.2889599366390456</v>
      </c>
      <c r="J29" s="3"/>
      <c r="K29" s="3"/>
      <c r="L29" s="3"/>
      <c r="M29" s="3"/>
      <c r="N29" s="3"/>
      <c r="O29" s="3"/>
    </row>
    <row r="30" spans="1:15" x14ac:dyDescent="0.25">
      <c r="A30" s="59" t="s">
        <v>11</v>
      </c>
      <c r="B30" s="84">
        <v>21.105315099393774</v>
      </c>
      <c r="C30" s="84">
        <v>16.432524478501488</v>
      </c>
      <c r="D30" s="84">
        <v>17.367066895368776</v>
      </c>
      <c r="E30" s="84">
        <v>16.594987394334872</v>
      </c>
      <c r="F30" s="84">
        <v>18.375680580762253</v>
      </c>
      <c r="G30" s="84">
        <v>16.597774244833062</v>
      </c>
      <c r="H30" s="84">
        <v>14.141742522756829</v>
      </c>
      <c r="I30" s="120">
        <f t="shared" si="0"/>
        <v>-2.4560317220762329</v>
      </c>
      <c r="J30" s="3"/>
      <c r="K30" s="3"/>
      <c r="L30" s="3"/>
      <c r="M30" s="3"/>
      <c r="N30" s="3"/>
      <c r="O30" s="3"/>
    </row>
    <row r="31" spans="1:15" x14ac:dyDescent="0.25">
      <c r="A31" s="59" t="s">
        <v>12</v>
      </c>
      <c r="B31" s="84">
        <v>20.032485110990795</v>
      </c>
      <c r="C31" s="84">
        <v>18.644986449864497</v>
      </c>
      <c r="D31" s="84">
        <v>24.388379204892964</v>
      </c>
      <c r="E31" s="84">
        <v>17.09548313321898</v>
      </c>
      <c r="F31" s="84">
        <v>20.76488015082144</v>
      </c>
      <c r="G31" s="84">
        <v>18.384925975773893</v>
      </c>
      <c r="H31" s="84">
        <v>16.885964912280706</v>
      </c>
      <c r="I31" s="120">
        <f t="shared" si="0"/>
        <v>-1.4989610634931871</v>
      </c>
      <c r="J31" s="3"/>
      <c r="K31" s="3"/>
      <c r="L31" s="3"/>
      <c r="M31" s="3"/>
      <c r="N31" s="3"/>
      <c r="O31" s="3"/>
    </row>
    <row r="32" spans="1:15" x14ac:dyDescent="0.25">
      <c r="A32" s="59" t="s">
        <v>13</v>
      </c>
      <c r="B32" s="84">
        <v>17.039032724405313</v>
      </c>
      <c r="C32" s="84">
        <v>18.154085805153496</v>
      </c>
      <c r="D32" s="84">
        <v>15.192111526691598</v>
      </c>
      <c r="E32" s="84">
        <v>18.675915948275868</v>
      </c>
      <c r="F32" s="84">
        <v>17.038456274804979</v>
      </c>
      <c r="G32" s="84">
        <v>17.618270799347467</v>
      </c>
      <c r="H32" s="84">
        <v>17.407108239095315</v>
      </c>
      <c r="I32" s="120">
        <f t="shared" si="0"/>
        <v>-0.21116256025215208</v>
      </c>
      <c r="J32" s="3"/>
      <c r="K32" s="3"/>
      <c r="L32" s="3"/>
      <c r="M32" s="3"/>
      <c r="N32" s="3"/>
      <c r="O32" s="3"/>
    </row>
    <row r="33" spans="1:15" x14ac:dyDescent="0.25">
      <c r="A33" s="59" t="s">
        <v>14</v>
      </c>
      <c r="B33" s="84">
        <v>19.610830845258931</v>
      </c>
      <c r="C33" s="84">
        <v>19.686002862061102</v>
      </c>
      <c r="D33" s="84">
        <v>20.342089187538182</v>
      </c>
      <c r="E33" s="84">
        <v>20.329293880871834</v>
      </c>
      <c r="F33" s="84">
        <v>20.252659015428598</v>
      </c>
      <c r="G33" s="84">
        <v>17.481459999171399</v>
      </c>
      <c r="H33" s="84">
        <v>17.556749192237241</v>
      </c>
      <c r="I33" s="120">
        <f t="shared" si="0"/>
        <v>7.5289193065842142E-2</v>
      </c>
      <c r="J33" s="3"/>
      <c r="K33" s="3"/>
      <c r="L33" s="3"/>
      <c r="M33" s="3"/>
      <c r="N33" s="3"/>
      <c r="O33" s="3"/>
    </row>
    <row r="34" spans="1:15" x14ac:dyDescent="0.25">
      <c r="A34" s="59" t="s">
        <v>30</v>
      </c>
      <c r="B34" s="84">
        <v>18.705989561759583</v>
      </c>
      <c r="C34" s="84">
        <v>18.457658830228585</v>
      </c>
      <c r="D34" s="84">
        <v>15.27060218514441</v>
      </c>
      <c r="E34" s="84">
        <v>15.977395324942201</v>
      </c>
      <c r="F34" s="84">
        <v>16.106242174923992</v>
      </c>
      <c r="G34" s="84">
        <v>15.716073663507956</v>
      </c>
      <c r="H34" s="84">
        <v>15.821482872730531</v>
      </c>
      <c r="I34" s="120">
        <f t="shared" si="0"/>
        <v>0.10540920922257513</v>
      </c>
      <c r="J34" s="3"/>
      <c r="K34" s="3"/>
      <c r="L34" s="3"/>
      <c r="M34" s="3"/>
      <c r="N34" s="3"/>
      <c r="O34" s="3"/>
    </row>
    <row r="35" spans="1:15" x14ac:dyDescent="0.25">
      <c r="A35" s="59" t="s">
        <v>15</v>
      </c>
      <c r="B35" s="84">
        <v>17.557403008709429</v>
      </c>
      <c r="C35" s="84">
        <v>15.921787709497204</v>
      </c>
      <c r="D35" s="84">
        <v>15.405923716173021</v>
      </c>
      <c r="E35" s="84">
        <v>18.007102569458954</v>
      </c>
      <c r="F35" s="84">
        <v>16.17742987606001</v>
      </c>
      <c r="G35" s="84">
        <v>16.846789574062303</v>
      </c>
      <c r="H35" s="84">
        <v>16.372152437726207</v>
      </c>
      <c r="I35" s="120">
        <f t="shared" si="0"/>
        <v>-0.47463713633609572</v>
      </c>
      <c r="J35" s="3"/>
      <c r="K35" s="3"/>
      <c r="L35" s="3"/>
      <c r="M35" s="3"/>
      <c r="N35" s="3"/>
      <c r="O35" s="3"/>
    </row>
    <row r="36" spans="1:15" x14ac:dyDescent="0.25">
      <c r="A36" s="59" t="s">
        <v>16</v>
      </c>
      <c r="B36" s="84">
        <v>17.365467150874881</v>
      </c>
      <c r="C36" s="84">
        <v>18.337167269142295</v>
      </c>
      <c r="D36" s="84">
        <v>19.097793875535064</v>
      </c>
      <c r="E36" s="84">
        <v>15.960013788348848</v>
      </c>
      <c r="F36" s="84">
        <v>17.025505134150375</v>
      </c>
      <c r="G36" s="84">
        <v>19.217527386541466</v>
      </c>
      <c r="H36" s="84">
        <v>22.414355628058726</v>
      </c>
      <c r="I36" s="120">
        <f t="shared" si="0"/>
        <v>3.1968282415172595</v>
      </c>
      <c r="J36" s="3"/>
      <c r="K36" s="3"/>
      <c r="L36" s="3"/>
      <c r="M36" s="3"/>
      <c r="N36" s="3"/>
      <c r="O36" s="3"/>
    </row>
    <row r="37" spans="1:15" x14ac:dyDescent="0.25">
      <c r="A37" s="59" t="s">
        <v>17</v>
      </c>
      <c r="B37" s="84">
        <v>19.038925474343095</v>
      </c>
      <c r="C37" s="84">
        <v>19.638936325933155</v>
      </c>
      <c r="D37" s="84">
        <v>17.299749869117566</v>
      </c>
      <c r="E37" s="84">
        <v>17.539812053345337</v>
      </c>
      <c r="F37" s="84">
        <v>19.708576632560138</v>
      </c>
      <c r="G37" s="84">
        <v>17.805352070563607</v>
      </c>
      <c r="H37" s="84">
        <v>14.701887499414546</v>
      </c>
      <c r="I37" s="120">
        <f t="shared" si="0"/>
        <v>-3.1034645711490612</v>
      </c>
      <c r="J37" s="3"/>
      <c r="K37" s="3"/>
      <c r="L37" s="3"/>
      <c r="M37" s="3"/>
      <c r="N37" s="3"/>
      <c r="O37" s="3"/>
    </row>
    <row r="38" spans="1:15" x14ac:dyDescent="0.25">
      <c r="A38" s="59" t="s">
        <v>18</v>
      </c>
      <c r="B38" s="84">
        <v>14.575741801145236</v>
      </c>
      <c r="C38" s="84">
        <v>15.13463324048282</v>
      </c>
      <c r="D38" s="84">
        <v>13.302184966332275</v>
      </c>
      <c r="E38" s="84">
        <v>13.821478382147834</v>
      </c>
      <c r="F38" s="84">
        <v>11.251402918069587</v>
      </c>
      <c r="G38" s="84">
        <v>12.162534435261707</v>
      </c>
      <c r="H38" s="84">
        <v>12.50168033337814</v>
      </c>
      <c r="I38" s="120">
        <f t="shared" si="0"/>
        <v>0.33914589811643303</v>
      </c>
      <c r="J38" s="3"/>
      <c r="K38" s="3"/>
      <c r="L38" s="3"/>
      <c r="M38" s="3"/>
      <c r="N38" s="3"/>
      <c r="O38" s="3"/>
    </row>
    <row r="39" spans="1:15" x14ac:dyDescent="0.25">
      <c r="A39" s="59" t="s">
        <v>29</v>
      </c>
      <c r="B39" s="84">
        <v>14.996568291008927</v>
      </c>
      <c r="C39" s="84">
        <v>12.906436629064366</v>
      </c>
      <c r="D39" s="84">
        <v>15.353598014888338</v>
      </c>
      <c r="E39" s="84">
        <v>16.443927948866943</v>
      </c>
      <c r="F39" s="84">
        <v>17.719701321079839</v>
      </c>
      <c r="G39" s="84">
        <v>16.939730836746637</v>
      </c>
      <c r="H39" s="84">
        <v>14.511410181392625</v>
      </c>
      <c r="I39" s="120">
        <f t="shared" si="0"/>
        <v>-2.4283206553540122</v>
      </c>
      <c r="J39" s="3"/>
      <c r="K39" s="3"/>
      <c r="L39" s="3"/>
      <c r="M39" s="3"/>
      <c r="N39" s="3"/>
      <c r="O39" s="3"/>
    </row>
    <row r="40" spans="1:15" x14ac:dyDescent="0.25">
      <c r="A40" s="59" t="s">
        <v>19</v>
      </c>
      <c r="B40" s="84">
        <v>14.06738868832732</v>
      </c>
      <c r="C40" s="84">
        <v>13.448474381116871</v>
      </c>
      <c r="D40" s="84">
        <v>16.479909451046971</v>
      </c>
      <c r="E40" s="84">
        <v>12.329104569528271</v>
      </c>
      <c r="F40" s="84">
        <v>16.70392449080974</v>
      </c>
      <c r="G40" s="84">
        <v>14.442120802066672</v>
      </c>
      <c r="H40" s="84">
        <v>14.103456274646254</v>
      </c>
      <c r="I40" s="120">
        <f t="shared" si="0"/>
        <v>-0.33866452742041808</v>
      </c>
      <c r="J40" s="3"/>
      <c r="K40" s="3"/>
      <c r="L40" s="3"/>
      <c r="M40" s="3"/>
      <c r="N40" s="3"/>
      <c r="O40" s="3"/>
    </row>
    <row r="41" spans="1:15" x14ac:dyDescent="0.25">
      <c r="A41" s="59" t="s">
        <v>20</v>
      </c>
      <c r="B41" s="84">
        <v>20.377496793109774</v>
      </c>
      <c r="C41" s="84">
        <v>18.912011683096019</v>
      </c>
      <c r="D41" s="84">
        <v>18.779080588125819</v>
      </c>
      <c r="E41" s="84">
        <v>19.931402439024392</v>
      </c>
      <c r="F41" s="84">
        <v>17.643678160919542</v>
      </c>
      <c r="G41" s="84">
        <v>16.074074074074073</v>
      </c>
      <c r="H41" s="84">
        <v>18.851457496945368</v>
      </c>
      <c r="I41" s="120">
        <f t="shared" si="0"/>
        <v>2.7773834228712957</v>
      </c>
      <c r="J41" s="3"/>
      <c r="K41" s="3"/>
      <c r="L41" s="3"/>
      <c r="M41" s="3"/>
      <c r="N41" s="3"/>
      <c r="O41" s="3"/>
    </row>
    <row r="42" spans="1:15" x14ac:dyDescent="0.25">
      <c r="A42" s="59" t="s">
        <v>21</v>
      </c>
      <c r="B42" s="84">
        <v>13.887665198237887</v>
      </c>
      <c r="C42" s="84">
        <v>16.56210790464241</v>
      </c>
      <c r="D42" s="84">
        <v>13.410702772404903</v>
      </c>
      <c r="E42" s="84">
        <v>12.135476463834671</v>
      </c>
      <c r="F42" s="84">
        <v>13.049612038561021</v>
      </c>
      <c r="G42" s="84">
        <v>16.182836771072061</v>
      </c>
      <c r="H42" s="84">
        <v>14.51556488282616</v>
      </c>
      <c r="I42" s="120">
        <f t="shared" si="0"/>
        <v>-1.6672718882459012</v>
      </c>
      <c r="J42" s="3"/>
      <c r="K42" s="3"/>
      <c r="L42" s="3"/>
      <c r="M42" s="3"/>
      <c r="N42" s="3"/>
      <c r="O42" s="3"/>
    </row>
    <row r="43" spans="1:15" x14ac:dyDescent="0.25">
      <c r="A43" s="59" t="s">
        <v>22</v>
      </c>
      <c r="B43" s="84">
        <v>25.962412852379511</v>
      </c>
      <c r="C43" s="84">
        <v>19.122681315181911</v>
      </c>
      <c r="D43" s="84">
        <v>20.945736434108532</v>
      </c>
      <c r="E43" s="84">
        <v>20.596698470392248</v>
      </c>
      <c r="F43" s="84">
        <v>21.703218456280261</v>
      </c>
      <c r="G43" s="84">
        <v>22.112447188820283</v>
      </c>
      <c r="H43" s="84">
        <v>22.681154676965377</v>
      </c>
      <c r="I43" s="120">
        <f t="shared" si="0"/>
        <v>0.56870748814509398</v>
      </c>
      <c r="J43" s="3"/>
      <c r="K43" s="3"/>
      <c r="L43" s="3"/>
      <c r="M43" s="3"/>
      <c r="N43" s="3"/>
      <c r="O43" s="3"/>
    </row>
    <row r="44" spans="1:15" x14ac:dyDescent="0.25">
      <c r="A44" s="59" t="s">
        <v>23</v>
      </c>
      <c r="B44" s="84">
        <v>14.444444444444448</v>
      </c>
      <c r="C44" s="84">
        <v>13.741753063147977</v>
      </c>
      <c r="D44" s="84">
        <v>13.077769625825386</v>
      </c>
      <c r="E44" s="84">
        <v>12.672566371681416</v>
      </c>
      <c r="F44" s="84">
        <v>13.451820874716846</v>
      </c>
      <c r="G44" s="84">
        <v>12.625358166189116</v>
      </c>
      <c r="H44" s="84">
        <v>10.765171503957783</v>
      </c>
      <c r="I44" s="120">
        <f t="shared" si="0"/>
        <v>-1.8601866622313334</v>
      </c>
      <c r="J44" s="3"/>
      <c r="K44" s="3"/>
      <c r="L44" s="3"/>
      <c r="M44" s="3"/>
      <c r="N44" s="3"/>
      <c r="O44" s="3"/>
    </row>
    <row r="45" spans="1:15" x14ac:dyDescent="0.25">
      <c r="A45" s="59" t="s">
        <v>24</v>
      </c>
      <c r="B45" s="84">
        <v>18.038400391341568</v>
      </c>
      <c r="C45" s="84">
        <v>17.729463185027463</v>
      </c>
      <c r="D45" s="84">
        <v>16.11986001749781</v>
      </c>
      <c r="E45" s="84">
        <v>16.345221420105595</v>
      </c>
      <c r="F45" s="84">
        <v>18.513993780541981</v>
      </c>
      <c r="G45" s="84">
        <v>15.354462985776685</v>
      </c>
      <c r="H45" s="84">
        <v>14.98794073733778</v>
      </c>
      <c r="I45" s="120">
        <f t="shared" si="0"/>
        <v>-0.3665222484389048</v>
      </c>
      <c r="J45" s="3"/>
      <c r="K45" s="3"/>
      <c r="L45" s="3"/>
      <c r="M45" s="3"/>
      <c r="N45" s="3"/>
      <c r="O45" s="3"/>
    </row>
    <row r="46" spans="1:15" x14ac:dyDescent="0.25">
      <c r="A46" s="59" t="s">
        <v>25</v>
      </c>
      <c r="B46" s="84">
        <v>7.3057595670660946</v>
      </c>
      <c r="C46" s="84">
        <v>19.234480540366672</v>
      </c>
      <c r="D46" s="84">
        <v>16.946417043253714</v>
      </c>
      <c r="E46" s="84">
        <v>20.058422590068158</v>
      </c>
      <c r="F46" s="84">
        <v>14.571629213483151</v>
      </c>
      <c r="G46" s="84">
        <v>13.998682476943348</v>
      </c>
      <c r="H46" s="84">
        <v>14.554424915201968</v>
      </c>
      <c r="I46" s="120">
        <f t="shared" si="0"/>
        <v>0.55574243825862091</v>
      </c>
      <c r="J46" s="3"/>
      <c r="K46" s="3"/>
      <c r="L46" s="3"/>
      <c r="M46" s="3"/>
      <c r="N46" s="3"/>
      <c r="O46" s="3"/>
    </row>
    <row r="47" spans="1:15" x14ac:dyDescent="0.25">
      <c r="A47" s="59" t="s">
        <v>53</v>
      </c>
      <c r="B47" s="84">
        <v>14.453926758128988</v>
      </c>
      <c r="C47" s="84">
        <v>14.208535926526199</v>
      </c>
      <c r="D47" s="84">
        <v>12.258135444151275</v>
      </c>
      <c r="E47" s="84">
        <v>11.398509425690484</v>
      </c>
      <c r="F47" s="84">
        <v>12.168971802294415</v>
      </c>
      <c r="G47" s="84">
        <v>10.352612341431955</v>
      </c>
      <c r="H47" s="84">
        <v>9.9067471201316533</v>
      </c>
      <c r="I47" s="120">
        <f t="shared" si="0"/>
        <v>-0.44586522130030204</v>
      </c>
      <c r="J47" s="3"/>
      <c r="K47" s="3"/>
      <c r="L47" s="3"/>
      <c r="M47" s="3"/>
      <c r="N47" s="3"/>
      <c r="O47" s="3"/>
    </row>
    <row r="48" spans="1:15" x14ac:dyDescent="0.25">
      <c r="A48" s="59" t="s">
        <v>26</v>
      </c>
      <c r="B48" s="84">
        <v>24.483272959727252</v>
      </c>
      <c r="C48" s="84">
        <v>9.9569063279655197</v>
      </c>
      <c r="D48" s="84">
        <v>17.397817248020541</v>
      </c>
      <c r="E48" s="84">
        <v>15.029761904761907</v>
      </c>
      <c r="F48" s="84">
        <v>13.659847075842112</v>
      </c>
      <c r="G48" s="84">
        <v>14.841611263199061</v>
      </c>
      <c r="H48" s="84">
        <v>13.465195891974135</v>
      </c>
      <c r="I48" s="120">
        <f t="shared" si="0"/>
        <v>-1.3764153712249261</v>
      </c>
      <c r="J48" s="3"/>
      <c r="K48" s="3"/>
      <c r="L48" s="3"/>
      <c r="M48" s="3"/>
      <c r="N48" s="3"/>
      <c r="O48" s="3"/>
    </row>
    <row r="49" spans="1:15" x14ac:dyDescent="0.25">
      <c r="A49" s="59" t="s">
        <v>27</v>
      </c>
      <c r="B49" s="84">
        <v>19.521410579345087</v>
      </c>
      <c r="C49" s="84">
        <v>24.970963995354232</v>
      </c>
      <c r="D49" s="84">
        <v>23.763501989766912</v>
      </c>
      <c r="E49" s="84">
        <v>26.26918536009445</v>
      </c>
      <c r="F49" s="84">
        <v>28.912158231529961</v>
      </c>
      <c r="G49" s="84">
        <v>26.583850931677024</v>
      </c>
      <c r="H49" s="84">
        <v>20.747422680412374</v>
      </c>
      <c r="I49" s="120">
        <f t="shared" si="0"/>
        <v>-5.8364282512646497</v>
      </c>
      <c r="J49" s="3"/>
      <c r="K49" s="3"/>
      <c r="L49" s="3"/>
      <c r="M49" s="3"/>
      <c r="N49" s="3"/>
      <c r="O49" s="3"/>
    </row>
    <row r="50" spans="1:15" x14ac:dyDescent="0.25">
      <c r="A50" s="57" t="s">
        <v>50</v>
      </c>
      <c r="B50" s="89">
        <v>22.702618332227729</v>
      </c>
      <c r="C50" s="89">
        <v>21.333518434047949</v>
      </c>
      <c r="D50" s="89">
        <v>20.066381979721115</v>
      </c>
      <c r="E50" s="89">
        <v>22.315538106609466</v>
      </c>
      <c r="F50" s="89">
        <v>24.059913903249264</v>
      </c>
      <c r="G50" s="89">
        <v>22.798609337864118</v>
      </c>
      <c r="H50" s="89">
        <v>20.088156230234034</v>
      </c>
      <c r="I50" s="121">
        <f t="shared" si="0"/>
        <v>-2.7104531076300837</v>
      </c>
      <c r="J50" s="3"/>
      <c r="K50" s="3"/>
      <c r="L50" s="3"/>
      <c r="M50" s="3"/>
      <c r="N50" s="3"/>
      <c r="O50" s="3"/>
    </row>
    <row r="51" spans="1:15" x14ac:dyDescent="0.25">
      <c r="A51" s="59" t="s">
        <v>32</v>
      </c>
      <c r="B51" s="84">
        <v>23.442421534681113</v>
      </c>
      <c r="C51" s="84">
        <v>21.768598447553412</v>
      </c>
      <c r="D51" s="84">
        <v>20.692393945056999</v>
      </c>
      <c r="E51" s="84">
        <v>23.202038924930491</v>
      </c>
      <c r="F51" s="84">
        <v>25.139100780759215</v>
      </c>
      <c r="G51" s="84">
        <v>23.841282673133925</v>
      </c>
      <c r="H51" s="84">
        <v>20.924183479598302</v>
      </c>
      <c r="I51" s="120">
        <f t="shared" si="0"/>
        <v>-2.9170991935356234</v>
      </c>
      <c r="J51" s="3"/>
      <c r="K51" s="3"/>
      <c r="L51" s="3"/>
      <c r="M51" s="3"/>
      <c r="N51" s="3"/>
      <c r="O51" s="3"/>
    </row>
    <row r="52" spans="1:15" x14ac:dyDescent="0.25">
      <c r="A52" s="59" t="s">
        <v>28</v>
      </c>
      <c r="B52" s="84">
        <v>17.599013715518574</v>
      </c>
      <c r="C52" s="84">
        <v>18.518518518518523</v>
      </c>
      <c r="D52" s="84">
        <v>16.007875208238676</v>
      </c>
      <c r="E52" s="84">
        <v>16.197633514550692</v>
      </c>
      <c r="F52" s="84">
        <v>16.42596413267735</v>
      </c>
      <c r="G52" s="84">
        <v>15.519673930083089</v>
      </c>
      <c r="H52" s="84">
        <v>14.294670846394986</v>
      </c>
      <c r="I52" s="120">
        <f t="shared" si="0"/>
        <v>-1.2250030836881027</v>
      </c>
      <c r="J52" s="3"/>
      <c r="K52" s="3"/>
      <c r="L52" s="3"/>
      <c r="M52" s="3"/>
      <c r="N52" s="3"/>
      <c r="O52" s="3"/>
    </row>
    <row r="53" spans="1:15" hidden="1" x14ac:dyDescent="0.25">
      <c r="A53" s="59" t="s">
        <v>39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3">
        <f t="shared" si="0"/>
        <v>0</v>
      </c>
    </row>
    <row r="54" spans="1:15" hidden="1" x14ac:dyDescent="0.25">
      <c r="A54" s="57" t="s">
        <v>134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93">
        <f t="shared" si="0"/>
        <v>0</v>
      </c>
    </row>
    <row r="55" spans="1:15" hidden="1" x14ac:dyDescent="0.25">
      <c r="A55" s="59" t="s">
        <v>40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 t="shared" si="0"/>
        <v>0</v>
      </c>
    </row>
    <row r="56" spans="1:15" hidden="1" x14ac:dyDescent="0.25">
      <c r="A56" s="57" t="s">
        <v>37</v>
      </c>
      <c r="B56" s="84">
        <v>18.967869329268495</v>
      </c>
      <c r="C56" s="84">
        <v>18.128670362389165</v>
      </c>
      <c r="D56" s="84">
        <v>17.534534574117522</v>
      </c>
      <c r="E56" s="84">
        <v>17.855118955695261</v>
      </c>
      <c r="F56" s="84">
        <v>18.622029445103294</v>
      </c>
      <c r="G56" s="84">
        <v>17.601917374911103</v>
      </c>
      <c r="H56" s="84">
        <v>16.319880955435263</v>
      </c>
      <c r="I56" s="84">
        <f t="shared" si="0"/>
        <v>-1.2820364194758405</v>
      </c>
    </row>
    <row r="57" spans="1:15" ht="8.1" customHeight="1" x14ac:dyDescent="0.25"/>
    <row r="58" spans="1:15" ht="24" customHeight="1" x14ac:dyDescent="0.25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</row>
  </sheetData>
  <mergeCells count="2">
    <mergeCell ref="B16:D16"/>
    <mergeCell ref="E16:G16"/>
  </mergeCells>
  <pageMargins left="0.51181102362204722" right="0.51181102362204722" top="0.55118110236220474" bottom="0.55118110236220474" header="0.31496062992125984" footer="0.31496062992125984"/>
  <pageSetup orientation="portrait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</vt:i4>
      </vt:variant>
    </vt:vector>
  </HeadingPairs>
  <TitlesOfParts>
    <vt:vector size="35" baseType="lpstr">
      <vt:lpstr>Consulta_Estado</vt:lpstr>
      <vt:lpstr>base_consulta_estado</vt:lpstr>
      <vt:lpstr>Resumen_general</vt:lpstr>
      <vt:lpstr>cobertura</vt:lpstr>
      <vt:lpstr>demanda</vt:lpstr>
      <vt:lpstr>absorcion</vt:lpstr>
      <vt:lpstr>matricula</vt:lpstr>
      <vt:lpstr>capacidad</vt:lpstr>
      <vt:lpstr>abandono</vt:lpstr>
      <vt:lpstr>reprobacion</vt:lpstr>
      <vt:lpstr>eficienciat</vt:lpstr>
      <vt:lpstr>tasaegreso</vt:lpstr>
      <vt:lpstr>titulacion</vt:lpstr>
      <vt:lpstr>costo</vt:lpstr>
      <vt:lpstr>adocente</vt:lpstr>
      <vt:lpstr>becas</vt:lpstr>
      <vt:lpstr>alupc</vt:lpstr>
      <vt:lpstr>admpc</vt:lpstr>
      <vt:lpstr>capacitacion</vt:lpstr>
      <vt:lpstr>servtec</vt:lpstr>
      <vt:lpstr>certificacion</vt:lpstr>
      <vt:lpstr>bexterno</vt:lpstr>
      <vt:lpstr>PCSINEMS</vt:lpstr>
      <vt:lpstr>cd</vt:lpstr>
      <vt:lpstr>eprt</vt:lpstr>
      <vt:lpstr>epr</vt:lpstr>
      <vt:lpstr>egc</vt:lpstr>
      <vt:lpstr>egi</vt:lpstr>
      <vt:lpstr>auto</vt:lpstr>
      <vt:lpstr>capip</vt:lpstr>
      <vt:lpstr>cnpr</vt:lpstr>
      <vt:lpstr>base_general</vt:lpstr>
      <vt:lpstr>Consulta_Estado!Área_de_impresión</vt:lpstr>
      <vt:lpstr>Consulta_Estado!Títulos_a_imprimir</vt:lpstr>
      <vt:lpstr>Resumen_general!Títulos_a_imprimir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DE AZAHALIA MORA TORRES;gsigala@conalep.edu.mx</dc:creator>
  <cp:keywords>Indicadores</cp:keywords>
  <cp:lastModifiedBy>FLOR DE AZAHALIA MORA TORRES</cp:lastModifiedBy>
  <cp:lastPrinted>2019-03-08T00:32:59Z</cp:lastPrinted>
  <dcterms:created xsi:type="dcterms:W3CDTF">2017-01-16T18:22:59Z</dcterms:created>
  <dcterms:modified xsi:type="dcterms:W3CDTF">2022-03-04T18:50:19Z</dcterms:modified>
</cp:coreProperties>
</file>